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tuhfltd.sharepoint.com/sites/Finance2/Shared Documents/Finance Reports/Reports for 2025/Urban Ubomi 1/Investor Reports/4. February 2025/Workings/"/>
    </mc:Choice>
  </mc:AlternateContent>
  <xr:revisionPtr revIDLastSave="35" documentId="8_{358827D4-123F-409F-8FDA-749982436933}" xr6:coauthVersionLast="47" xr6:coauthVersionMax="47" xr10:uidLastSave="{76D3704A-36CF-4F09-AF05-031CF52803FD}"/>
  <bookViews>
    <workbookView xWindow="28680" yWindow="-120" windowWidth="29040" windowHeight="15720" xr2:uid="{98ED8B74-F09A-4906-AC8A-68854132D5C4}"/>
  </bookViews>
  <sheets>
    <sheet name="Admin Report" sheetId="1" r:id="rId1"/>
    <sheet name="Servicer Report" sheetId="2" r:id="rId2"/>
  </sheets>
  <definedNames>
    <definedName name="_Fill" hidden="1">#REF!</definedName>
    <definedName name="_Parse_In" hidden="1">#REF!</definedName>
    <definedName name="_Parse_Out" hidden="1">#REF!</definedName>
    <definedName name="a" hidden="1">{#N/A,#N/A,FALSE,"Glossary"}</definedName>
    <definedName name="adfads" hidden="1">{#N/A,#N/A,FALSE,"Glossary"}</definedName>
    <definedName name="cube" hidden="1">{#N/A,#N/A,FALSE,"Glossary"}</definedName>
    <definedName name="Data">#REF!</definedName>
    <definedName name="Datatape">#REF!</definedName>
    <definedName name="deletename" hidden="1">#REF!</definedName>
    <definedName name="deletename1" hidden="1">#REF!</definedName>
    <definedName name="ff" hidden="1">#REF!</definedName>
    <definedName name="_xlnm.Print_Area" localSheetId="0">'Admin Report'!$B$2:$X$222</definedName>
    <definedName name="_xlnm.Print_Area" localSheetId="1">'Servicer Report'!$B$2:$O$124</definedName>
    <definedName name="Recon2" hidden="1">#REF!</definedName>
    <definedName name="wrn.Report1." hidden="1">{#N/A,#N/A,FALSE,"Glossary"}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P33" i="1"/>
  <c r="N32" i="1"/>
  <c r="G32" i="1"/>
  <c r="Q32" i="1"/>
  <c r="N47" i="1"/>
  <c r="L58" i="2" l="1"/>
  <c r="I54" i="2"/>
  <c r="L63" i="2"/>
  <c r="J38" i="2"/>
  <c r="J33" i="2"/>
  <c r="T106" i="1"/>
  <c r="J29" i="2"/>
  <c r="J11" i="2"/>
  <c r="J12" i="2" s="1"/>
  <c r="Q219" i="1"/>
  <c r="Q211" i="1"/>
  <c r="Q210" i="1" s="1"/>
  <c r="U210" i="1"/>
  <c r="Q214" i="1" s="1"/>
  <c r="U209" i="1"/>
  <c r="O209" i="1"/>
  <c r="P207" i="1"/>
  <c r="Q201" i="1"/>
  <c r="Q204" i="1" s="1"/>
  <c r="Q195" i="1"/>
  <c r="Q193" i="1"/>
  <c r="T186" i="1"/>
  <c r="T185" i="1"/>
  <c r="T184" i="1"/>
  <c r="T183" i="1"/>
  <c r="T180" i="1"/>
  <c r="T179" i="1"/>
  <c r="T178" i="1"/>
  <c r="T177" i="1"/>
  <c r="T176" i="1"/>
  <c r="L176" i="1"/>
  <c r="T175" i="1"/>
  <c r="T174" i="1"/>
  <c r="T173" i="1"/>
  <c r="T172" i="1"/>
  <c r="T171" i="1"/>
  <c r="L171" i="1"/>
  <c r="T170" i="1"/>
  <c r="L169" i="1"/>
  <c r="T169" i="1" s="1"/>
  <c r="T168" i="1"/>
  <c r="T167" i="1"/>
  <c r="T166" i="1"/>
  <c r="T165" i="1"/>
  <c r="T160" i="1"/>
  <c r="T159" i="1"/>
  <c r="T158" i="1"/>
  <c r="L155" i="1"/>
  <c r="T155" i="1" s="1"/>
  <c r="T151" i="1"/>
  <c r="T150" i="1"/>
  <c r="T149" i="1"/>
  <c r="T148" i="1"/>
  <c r="T147" i="1"/>
  <c r="L146" i="1"/>
  <c r="T146" i="1"/>
  <c r="T145" i="1"/>
  <c r="T144" i="1"/>
  <c r="T142" i="1"/>
  <c r="T141" i="1"/>
  <c r="T140" i="1" s="1"/>
  <c r="L140" i="1"/>
  <c r="T139" i="1"/>
  <c r="AR106" i="1"/>
  <c r="T104" i="1"/>
  <c r="AR102" i="1"/>
  <c r="AR107" i="1" s="1"/>
  <c r="AK102" i="1"/>
  <c r="T99" i="1"/>
  <c r="AW96" i="1"/>
  <c r="T88" i="1"/>
  <c r="T87" i="1"/>
  <c r="T79" i="1"/>
  <c r="U78" i="1"/>
  <c r="T76" i="1"/>
  <c r="U72" i="1"/>
  <c r="U69" i="1"/>
  <c r="U67" i="1"/>
  <c r="U65" i="1"/>
  <c r="T63" i="1"/>
  <c r="T60" i="1"/>
  <c r="U58" i="1"/>
  <c r="T56" i="1"/>
  <c r="T96" i="1" s="1"/>
  <c r="P49" i="1"/>
  <c r="K47" i="1"/>
  <c r="L46" i="1"/>
  <c r="I46" i="1"/>
  <c r="J46" i="1" s="1"/>
  <c r="H46" i="1"/>
  <c r="N37" i="1"/>
  <c r="N38" i="1" s="1"/>
  <c r="W40" i="1"/>
  <c r="V40" i="1"/>
  <c r="S40" i="1"/>
  <c r="R40" i="1"/>
  <c r="N40" i="1"/>
  <c r="L40" i="1"/>
  <c r="S32" i="1"/>
  <c r="K17" i="1"/>
  <c r="V32" i="1"/>
  <c r="V30" i="1"/>
  <c r="M30" i="1"/>
  <c r="W29" i="1"/>
  <c r="W30" i="1" s="1"/>
  <c r="V29" i="1"/>
  <c r="U29" i="1"/>
  <c r="U30" i="1" s="1"/>
  <c r="T29" i="1"/>
  <c r="T30" i="1" s="1"/>
  <c r="S29" i="1"/>
  <c r="S30" i="1" s="1"/>
  <c r="R29" i="1"/>
  <c r="R30" i="1" s="1"/>
  <c r="Q29" i="1"/>
  <c r="Q30" i="1" s="1"/>
  <c r="P29" i="1"/>
  <c r="P30" i="1" s="1"/>
  <c r="O29" i="1"/>
  <c r="O30" i="1" s="1"/>
  <c r="M29" i="1"/>
  <c r="L29" i="1"/>
  <c r="L30" i="1" s="1"/>
  <c r="K29" i="1"/>
  <c r="K30" i="1" s="1"/>
  <c r="J29" i="1"/>
  <c r="J30" i="1" s="1"/>
  <c r="I29" i="1"/>
  <c r="I30" i="1" s="1"/>
  <c r="H29" i="1"/>
  <c r="H30" i="1" s="1"/>
  <c r="G29" i="1"/>
  <c r="G30" i="1" s="1"/>
  <c r="W28" i="1"/>
  <c r="T28" i="1"/>
  <c r="R28" i="1"/>
  <c r="Q28" i="1"/>
  <c r="P28" i="1"/>
  <c r="M28" i="1"/>
  <c r="N28" i="1" s="1"/>
  <c r="L28" i="1"/>
  <c r="K28" i="1"/>
  <c r="I28" i="1"/>
  <c r="H28" i="1"/>
  <c r="G28" i="1"/>
  <c r="K15" i="1"/>
  <c r="K14" i="1"/>
  <c r="L209" i="1" s="1"/>
  <c r="K13" i="1"/>
  <c r="K11" i="1"/>
  <c r="K12" i="1" s="1"/>
  <c r="K10" i="1"/>
  <c r="T90" i="1" l="1"/>
  <c r="I58" i="2"/>
  <c r="I53" i="2" s="1"/>
  <c r="L54" i="2"/>
  <c r="L53" i="2" s="1"/>
  <c r="P34" i="1"/>
  <c r="T143" i="1"/>
  <c r="T32" i="1"/>
  <c r="M40" i="1"/>
  <c r="M46" i="1"/>
  <c r="L47" i="1"/>
  <c r="T55" i="1"/>
  <c r="J45" i="2"/>
  <c r="T77" i="1"/>
  <c r="K16" i="1"/>
  <c r="Q215" i="1" s="1"/>
  <c r="P32" i="1"/>
  <c r="I32" i="1"/>
  <c r="K18" i="1"/>
  <c r="S34" i="1"/>
  <c r="W36" i="1"/>
  <c r="O40" i="1"/>
  <c r="U75" i="1"/>
  <c r="J26" i="2"/>
  <c r="J32" i="1"/>
  <c r="H32" i="1"/>
  <c r="U32" i="1"/>
  <c r="M32" i="1"/>
  <c r="W32" i="1"/>
  <c r="L32" i="1"/>
  <c r="U40" i="1"/>
  <c r="R36" i="1"/>
  <c r="U68" i="1"/>
  <c r="T103" i="1" s="1"/>
  <c r="T102" i="1" s="1"/>
  <c r="I97" i="2"/>
  <c r="K32" i="1"/>
  <c r="H36" i="1"/>
  <c r="O32" i="1"/>
  <c r="T66" i="1"/>
  <c r="T86" i="1"/>
  <c r="T83" i="1" s="1"/>
  <c r="T98" i="1"/>
  <c r="L161" i="1"/>
  <c r="T161" i="1" s="1"/>
  <c r="R32" i="1"/>
  <c r="T36" i="1"/>
  <c r="L143" i="1"/>
  <c r="Q40" i="1"/>
  <c r="U211" i="1"/>
  <c r="G92" i="2"/>
  <c r="I89" i="2" s="1"/>
  <c r="G114" i="2"/>
  <c r="I109" i="2" s="1"/>
  <c r="K84" i="2"/>
  <c r="M82" i="2" s="1"/>
  <c r="K92" i="2"/>
  <c r="M88" i="2" s="1"/>
  <c r="K114" i="2"/>
  <c r="M98" i="2" s="1"/>
  <c r="K40" i="1"/>
  <c r="T40" i="1"/>
  <c r="K123" i="2"/>
  <c r="M120" i="2" s="1"/>
  <c r="M106" i="2" l="1"/>
  <c r="I111" i="2"/>
  <c r="T97" i="1"/>
  <c r="T95" i="1" s="1"/>
  <c r="I87" i="2"/>
  <c r="U36" i="1"/>
  <c r="U37" i="1" s="1"/>
  <c r="U38" i="1" s="1"/>
  <c r="M103" i="2"/>
  <c r="M105" i="2"/>
  <c r="M100" i="2"/>
  <c r="I91" i="2"/>
  <c r="M79" i="2"/>
  <c r="M97" i="2"/>
  <c r="K36" i="1"/>
  <c r="K37" i="1" s="1"/>
  <c r="K38" i="1" s="1"/>
  <c r="M91" i="2"/>
  <c r="M81" i="2"/>
  <c r="M89" i="2"/>
  <c r="I36" i="1"/>
  <c r="M87" i="2"/>
  <c r="O36" i="1"/>
  <c r="W34" i="1"/>
  <c r="T111" i="1"/>
  <c r="L164" i="1"/>
  <c r="P139" i="1"/>
  <c r="I37" i="1"/>
  <c r="I38" i="1" s="1"/>
  <c r="M90" i="2"/>
  <c r="M108" i="2"/>
  <c r="M95" i="2"/>
  <c r="P46" i="1"/>
  <c r="P47" i="1" s="1"/>
  <c r="M47" i="1"/>
  <c r="O46" i="1"/>
  <c r="R34" i="1"/>
  <c r="L36" i="1"/>
  <c r="R37" i="1"/>
  <c r="R38" i="1" s="1"/>
  <c r="I99" i="2"/>
  <c r="L182" i="1"/>
  <c r="M83" i="2"/>
  <c r="M104" i="2"/>
  <c r="M36" i="1"/>
  <c r="U34" i="1"/>
  <c r="S36" i="1"/>
  <c r="M119" i="2"/>
  <c r="O37" i="1"/>
  <c r="O38" i="1" s="1"/>
  <c r="M122" i="2"/>
  <c r="M101" i="2"/>
  <c r="V36" i="1"/>
  <c r="V34" i="1"/>
  <c r="J36" i="1"/>
  <c r="M110" i="2"/>
  <c r="M80" i="2"/>
  <c r="M112" i="2"/>
  <c r="M118" i="2"/>
  <c r="M117" i="2"/>
  <c r="I95" i="2"/>
  <c r="T37" i="1"/>
  <c r="T38" i="1" s="1"/>
  <c r="M121" i="2"/>
  <c r="M107" i="2"/>
  <c r="H37" i="1"/>
  <c r="H38" i="1" s="1"/>
  <c r="M109" i="2"/>
  <c r="M111" i="2"/>
  <c r="P36" i="1"/>
  <c r="M92" i="2"/>
  <c r="W37" i="1"/>
  <c r="W38" i="1" s="1"/>
  <c r="I104" i="2"/>
  <c r="I110" i="2"/>
  <c r="I112" i="2"/>
  <c r="I100" i="2"/>
  <c r="I106" i="2"/>
  <c r="I96" i="2"/>
  <c r="I102" i="2"/>
  <c r="I108" i="2"/>
  <c r="I98" i="2"/>
  <c r="I101" i="2"/>
  <c r="M113" i="2"/>
  <c r="I103" i="2"/>
  <c r="M102" i="2"/>
  <c r="H34" i="1"/>
  <c r="N34" i="1"/>
  <c r="K34" i="1"/>
  <c r="G34" i="1"/>
  <c r="O34" i="1"/>
  <c r="M34" i="1"/>
  <c r="L34" i="1"/>
  <c r="J34" i="1"/>
  <c r="I34" i="1"/>
  <c r="I105" i="2"/>
  <c r="T34" i="1"/>
  <c r="G36" i="1"/>
  <c r="I88" i="2"/>
  <c r="I90" i="2"/>
  <c r="I107" i="2"/>
  <c r="I113" i="2"/>
  <c r="M96" i="2"/>
  <c r="M99" i="2"/>
  <c r="Q34" i="1"/>
  <c r="Q36" i="1"/>
  <c r="I92" i="2" l="1"/>
  <c r="M84" i="2"/>
  <c r="L154" i="1"/>
  <c r="T154" i="1" s="1"/>
  <c r="M123" i="2"/>
  <c r="J37" i="1"/>
  <c r="J38" i="1"/>
  <c r="M114" i="2"/>
  <c r="G37" i="1"/>
  <c r="G38" i="1" s="1"/>
  <c r="V37" i="1"/>
  <c r="V38" i="1" s="1"/>
  <c r="L37" i="1"/>
  <c r="L38" i="1" s="1"/>
  <c r="T164" i="1"/>
  <c r="P39" i="1"/>
  <c r="L163" i="1"/>
  <c r="M37" i="1"/>
  <c r="M38" i="1" s="1"/>
  <c r="P187" i="1"/>
  <c r="P140" i="1"/>
  <c r="Q37" i="1"/>
  <c r="Q38" i="1" s="1"/>
  <c r="L156" i="1"/>
  <c r="T156" i="1" s="1"/>
  <c r="L153" i="1"/>
  <c r="P37" i="1"/>
  <c r="P38" i="1" s="1"/>
  <c r="T182" i="1"/>
  <c r="L181" i="1"/>
  <c r="L157" i="1"/>
  <c r="T157" i="1" s="1"/>
  <c r="N46" i="1"/>
  <c r="Q46" i="1" s="1"/>
  <c r="O47" i="1"/>
  <c r="I114" i="2"/>
  <c r="S37" i="1"/>
  <c r="S38" i="1" s="1"/>
  <c r="Q217" i="1" l="1"/>
  <c r="Q218" i="1" s="1"/>
  <c r="Q221" i="1" s="1"/>
  <c r="T181" i="1"/>
  <c r="T153" i="1"/>
  <c r="T152" i="1" s="1"/>
  <c r="L152" i="1"/>
  <c r="Q47" i="1"/>
  <c r="R46" i="1"/>
  <c r="L162" i="1"/>
  <c r="T163" i="1"/>
  <c r="T162" i="1" s="1"/>
  <c r="P143" i="1"/>
  <c r="P142" i="1"/>
  <c r="P141" i="1"/>
  <c r="T187" i="1"/>
  <c r="P40" i="1"/>
  <c r="L187" i="1" l="1"/>
  <c r="P145" i="1"/>
  <c r="P144" i="1"/>
  <c r="P146" i="1"/>
  <c r="P41" i="1"/>
  <c r="S41" i="1"/>
  <c r="Q41" i="1"/>
  <c r="W41" i="1"/>
  <c r="L41" i="1"/>
  <c r="T41" i="1"/>
  <c r="V41" i="1"/>
  <c r="R41" i="1"/>
  <c r="K41" i="1"/>
  <c r="K19" i="1"/>
  <c r="U41" i="1"/>
  <c r="N41" i="1"/>
  <c r="O41" i="1"/>
  <c r="M41" i="1"/>
  <c r="S46" i="1"/>
  <c r="R47" i="1"/>
  <c r="P147" i="1" l="1"/>
  <c r="P148" i="1"/>
  <c r="P150" i="1"/>
  <c r="P151" i="1" s="1"/>
  <c r="P152" i="1" s="1"/>
  <c r="P149" i="1"/>
  <c r="P43" i="1"/>
  <c r="R43" i="1"/>
  <c r="N43" i="1"/>
  <c r="W43" i="1"/>
  <c r="K43" i="1"/>
  <c r="O43" i="1"/>
  <c r="M43" i="1"/>
  <c r="T43" i="1"/>
  <c r="U43" i="1"/>
  <c r="S43" i="1"/>
  <c r="L43" i="1"/>
  <c r="Q43" i="1"/>
  <c r="V43" i="1"/>
  <c r="S47" i="1"/>
  <c r="T46" i="1"/>
  <c r="U46" i="1" l="1"/>
  <c r="T47" i="1"/>
  <c r="P154" i="1"/>
  <c r="P156" i="1"/>
  <c r="P157" i="1" s="1"/>
  <c r="P155" i="1"/>
  <c r="P153" i="1"/>
  <c r="P158" i="1" l="1"/>
  <c r="P159" i="1" s="1"/>
  <c r="P161" i="1"/>
  <c r="P162" i="1" s="1"/>
  <c r="V46" i="1"/>
  <c r="U47" i="1"/>
  <c r="V47" i="1" l="1"/>
  <c r="W46" i="1"/>
  <c r="W47" i="1" s="1"/>
  <c r="P169" i="1"/>
  <c r="P170" i="1" s="1"/>
  <c r="P171" i="1" s="1"/>
  <c r="P163" i="1"/>
  <c r="P166" i="1"/>
  <c r="P165" i="1"/>
  <c r="P164" i="1"/>
  <c r="P168" i="1"/>
  <c r="P167" i="1"/>
  <c r="T112" i="1"/>
  <c r="T113" i="1" s="1"/>
  <c r="P160" i="1"/>
  <c r="P174" i="1" l="1"/>
  <c r="P175" i="1" s="1"/>
  <c r="P176" i="1" s="1"/>
  <c r="P172" i="1"/>
  <c r="P173" i="1"/>
  <c r="P177" i="1" l="1"/>
  <c r="P178" i="1"/>
  <c r="P179" i="1" s="1"/>
  <c r="P180" i="1" s="1"/>
  <c r="P181" i="1" s="1"/>
  <c r="P185" i="1" l="1"/>
  <c r="P186" i="1" s="1"/>
  <c r="P182" i="1"/>
  <c r="P183" i="1" s="1"/>
  <c r="P184" i="1"/>
  <c r="G123" i="2" l="1"/>
  <c r="I117" i="2" l="1"/>
  <c r="I118" i="2"/>
  <c r="I119" i="2"/>
  <c r="I120" i="2"/>
  <c r="I121" i="2"/>
  <c r="I122" i="2"/>
  <c r="I123" i="2" l="1"/>
  <c r="G84" i="2" l="1"/>
  <c r="I80" i="2" l="1"/>
  <c r="I81" i="2"/>
  <c r="I83" i="2"/>
  <c r="I82" i="2"/>
  <c r="I79" i="2"/>
  <c r="I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tc={2198C07E-363F-45EA-AFA0-B2D384ED5E5D}</author>
    <author>tc={CE7CB370-DD34-411D-8FFD-5C07311A98CD}</author>
    <author>tc={096998C6-4881-4787-8E18-A325ED996B55}</author>
    <author>tc={0971E08A-D83C-49E8-8367-D379FDBF3D43}</author>
    <author>tc={F3E417E8-7B3B-44DC-94C6-8DCFF92669F8}</author>
    <author>tc={DF3CB45C-8C99-4B3E-AFFC-104FA0DA2190}</author>
    <author>tc={2B1A9D18-E41F-4D11-BDF6-0B387D4D4ABD}</author>
    <author>tc={E602A622-0A28-4599-8D7F-EE59856E0C93}</author>
    <author>tc={543E9152-DACE-40F4-AEA8-526EEEB25831}</author>
    <author>tc={5E28F66D-7F82-4534-B9B1-0203787DD3F1}</author>
    <author>tc={7FB9B67A-7693-4944-A782-D5BCAAA0BCAC}</author>
    <author>tc={B73442BF-4AAE-49DB-A7C4-547A5F7FC39A}</author>
    <author>tc={CF0B79B5-8114-4A0E-B896-117E51CEF7A3}</author>
    <author>tc={F7F95922-E6F8-412B-A944-B3314FF62981}</author>
    <author>tc={30B5D40E-C769-4CC9-9551-DFE33D804906}</author>
    <author>tc={E8CF253A-3B29-4DCB-B5C7-92C5D27ADF99}</author>
    <author>tc={4EF0B2C5-588D-4525-97BC-8B12E9C1D3D8}</author>
    <author>tc={AE3051BB-33C1-411B-8FC6-9AEB00620035}</author>
    <author>tc={6DE50D12-826F-48AE-86EB-767545F7DCE9}</author>
    <author>tc={7F2DAEA1-E89D-481E-9E3C-BFC0B6A56108}</author>
    <author>tc={4A711656-5576-4761-B05C-7258BFF9F599}</author>
    <author>tc={E71882E1-EDED-45B5-B0AE-FA945CD99904}</author>
    <author>tc={EE11A09C-D140-48FD-BEF6-446B09AF87A7}</author>
    <author>tc={4BB103A7-C12A-46C2-A4F3-EF62DD3A5143}</author>
    <author>tc={76DA3512-035E-4D51-BCA6-0B78CAFCC8CE}</author>
    <author>tc={D8E24E90-1C71-4F59-B68C-6A2F96AED2A2}</author>
    <author>tc={8915FF90-9447-4886-A376-8FA744DEE1AF}</author>
    <author>tc={3B3014CA-6FA6-4C7D-82B3-F025E4CC9439}</author>
    <author>tc={8CCAE6B2-AE0E-4885-947C-FA34D9DB54CD}</author>
    <author>tc={FFC2379A-E090-46D8-94E4-F98CFB11B04F}</author>
    <author>tc={B29D4692-1266-4063-B1AB-4B0C062F82E5}</author>
    <author>tc={499BDA6B-50A1-48EF-ADC4-7009B8F017F1}</author>
    <author>tc={1B10D766-4AAE-4390-A3E6-B3B803186CC3}</author>
    <author>tc={B08F99F5-A5D9-4827-A24F-0B439EE20CDF}</author>
    <author>tc={B5964D72-467E-4B99-AF61-F2507097C0B5}</author>
    <author>tc={075E0EE1-3F4B-4F87-A971-969855923484}</author>
    <author>tc={2576D12E-F45D-4FFC-BD1B-ED4DFE666D1A}</author>
    <author>tc={1F170452-B3F4-4B93-A0DE-8CC58EBFC9E2}</author>
    <author>tc={90EC91CE-F987-48CA-81B1-BB4EE9B910B5}</author>
    <author>tc={082A9997-9BC0-4595-BB4C-E41836258B3E}</author>
  </authors>
  <commentList>
    <comment ref="C8" authorId="0" shapeId="0" xr:uid="{2198C07E-363F-45EA-AFA0-B2D384ED5E5D}">
      <text>
        <t>[Threaded comment]
Your version of Excel allows you to read this threaded comment; however, any edits to it will get removed if the file is opened in a newer version of Excel. Learn more: https://go.microsoft.com/fwlink/?linkid=870924
Comment:
    1.141.13	Administrator Report Date means the fifteenth twelfth day after each Determination Date, or if any such day is not a Business Day, then the immediately succeeding day that is a Business Day;</t>
      </text>
    </comment>
    <comment ref="C9" authorId="1" shapeId="0" xr:uid="{CE7CB370-DD34-411D-8FFD-5C07311A98CD}">
      <text>
        <t>[Threaded comment]
Your version of Excel allows you to read this threaded comment; however, any edits to it will get removed if the file is opened in a newer version of Excel. Learn more: https://go.microsoft.com/fwlink/?linkid=870924
Comment:
    1.1021.100	Determination Date means the last Business Day of [December, March, June and September], save for the first Determination Date which will be the date specified in the APS;</t>
      </text>
    </comment>
    <comment ref="C12" authorId="2" shapeId="0" xr:uid="{096998C6-4881-4787-8E18-A325ED996B55}">
      <text>
        <t>[Threaded comment]
Your version of Excel allows you to read this threaded comment; however, any edits to it will get removed if the file is opened in a newer version of Excel. Learn more: https://go.microsoft.com/fwlink/?linkid=870924
Comment:
    1.751.73	Collection Period means each period beginning on (and excluding) a Determination Date and ending on (and including) the immediately following Determination Date, provided that the first Collection Period shall begin on (and include) the Initial Issue Date;</t>
      </text>
    </comment>
    <comment ref="C67" authorId="3" shapeId="0" xr:uid="{0971E08A-D83C-49E8-8367-D379FDBF3D43}">
      <text>
        <t>[Threaded comment]
Your version of Excel allows you to read this threaded comment; however, any edits to it will get removed if the file is opened in a newer version of Excel. Learn more: https://go.microsoft.com/fwlink/?linkid=870924
Comment:
    1.2591.251	Repayments means repayments of principal received under a Loan Agreement, being scheduled instalments received, less interest owing during the immediately preceding interest period in terms of the Loan Agreement;</t>
      </text>
    </comment>
    <comment ref="C68" authorId="4" shapeId="0" xr:uid="{F3E417E8-7B3B-44DC-94C6-8DCFF92669F8}">
      <text>
        <t>[Threaded comment]
Your version of Excel allows you to read this threaded comment; however, any edits to it will get removed if the file is opened in a newer version of Excel. Learn more: https://go.microsoft.com/fwlink/?linkid=870924
Comment:
    1.2201.211	Prepayments means principal repayments received under a Loan Agreement in excess of the minimum Instalments which a Borrower is obliged to pay;</t>
      </text>
    </comment>
    <comment ref="C72" authorId="5" shapeId="0" xr:uid="{DF3CB45C-8C99-4B3E-AFFC-104FA0DA2190}">
      <text>
        <t>[Threaded comment]
Your version of Excel allows you to read this threaded comment; however, any edits to it will get removed if the file is opened in a newer version of Excel. Learn more: https://go.microsoft.com/fwlink/?linkid=870924
Comment:
    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
      </text>
    </comment>
    <comment ref="C83" authorId="6" shapeId="0" xr:uid="{2B1A9D18-E41F-4D11-BDF6-0B387D4D4ABD}">
      <text>
        <t>[Threaded comment]
Your version of Excel allows you to read this threaded comment; however, any edits to it will get removed if the file is opened in a newer version of Excel. Learn more: https://go.microsoft.com/fwlink/?linkid=870924
Comment:
    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
      </text>
    </comment>
    <comment ref="C102" authorId="7" shapeId="0" xr:uid="{E602A622-0A28-4599-8D7F-EE59856E0C93}">
      <text>
        <t>[Threaded comment]
Your version of Excel allows you to read this threaded comment; however, any edits to it will get removed if the file is opened in a newer version of Excel. Learn more: https://go.microsoft.com/fwlink/?linkid=870924
Comment:
    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
      </text>
    </comment>
    <comment ref="C113" authorId="8" shapeId="0" xr:uid="{543E9152-DACE-40F4-AEA8-526EEEB25831}">
      <text>
        <t>[Threaded comment]
Your version of Excel allows you to read this threaded comment; however, any edits to it will get removed if the file is opened in a newer version of Excel. Learn more: https://go.microsoft.com/fwlink/?linkid=870924
Comment:
    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
      </text>
    </comment>
    <comment ref="C117" authorId="9" shapeId="0" xr:uid="{5E28F66D-7F82-4534-B9B1-0203787DD3F1}">
      <text>
        <t>[Threaded comment]
Your version of Excel allows you to read this threaded comment; however, any edits to it will get removed if the file is opened in a newer version of Excel. Learn more: https://go.microsoft.com/fwlink/?linkid=870924
Comment:
    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
      </text>
    </comment>
    <comment ref="C118" authorId="10" shapeId="0" xr:uid="{7FB9B67A-7693-4944-A782-D5BCAAA0BCAC}">
      <text>
        <t>[Threaded comment]
Your version of Excel allows you to read this threaded comment; however, any edits to it will get removed if the file is opened in a newer version of Excel. Learn more: https://go.microsoft.com/fwlink/?linkid=870924
Comment:
    1.681.67	Class C Interest Deferral Event means the first occurrence on which there are Class B Notes outstanding and where there is a Principal Deficiency on the immediately preceding Interest Payment Date after the application of funds in accordance with the Priority of Payments;</t>
      </text>
    </comment>
    <comment ref="C124" authorId="11" shapeId="0" xr:uid="{B73442BF-4AAE-49DB-A7C4-547A5F7FC39A}">
      <text>
        <t>[Threaded comment]
Your version of Excel allows you to read this threaded comment; however, any edits to it will get removed if the file is opened in a newer version of Excel. Learn more: https://go.microsoft.com/fwlink/?linkid=870924
Comment:
    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
      </text>
    </comment>
    <comment ref="C133" authorId="12" shapeId="0" xr:uid="{CF0B79B5-8114-4A0E-B896-117E51CEF7A3}">
      <text>
        <t>[Threaded comment]
Your version of Excel allows you to read this threaded comment; however, any edits to it will get removed if the file is opened in a newer version of Excel. Learn more: https://go.microsoft.com/fwlink/?linkid=870924
Comment:
    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
      </text>
    </comment>
    <comment ref="C135" authorId="13" shapeId="0" xr:uid="{F7F95922-E6F8-412B-A944-B3314FF62981}">
      <text>
        <t>[Threaded comment]
Your version of Excel allows you to read this threaded comment; however, any edits to it will get removed if the file is opened in a newer version of Excel. Learn more: https://go.microsoft.com/fwlink/?linkid=870924
Comment:
    1.701.69	Class C Principal Lock-Out shall occur on any Interest Payment Date on which, if prior to the allocation of the Redemption Amount in accordance with the Priority of Payments, there are Class B Notes outstanding;</t>
      </text>
    </comment>
    <comment ref="C139" authorId="14" shapeId="0" xr:uid="{30B5D40E-C769-4CC9-9551-DFE33D804906}">
      <text>
        <t>[Threaded comment]
Your version of Excel allows you to read this threaded comment; however, any edits to it will get removed if the file is opened in a newer version of Excel. Learn more: https://go.microsoft.com/fwlink/?linkid=870924
Comment:
    1.1	first, to pay or provide for the Issuer’s liability or potential liability for Tax;</t>
      </text>
    </comment>
    <comment ref="C140" authorId="15" shapeId="0" xr:uid="{E8CF253A-3B29-4DCB-B5C7-92C5D27ADF99}">
      <text>
        <t>[Threaded comment]
Your version of Excel allows you to read this threaded comment; however, any edits to it will get removed if the file is opened in a newer version of Excel. Learn more: https://go.microsoft.com/fwlink/?linkid=870924
Comment:
    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
      </text>
    </comment>
    <comment ref="C143" authorId="16" shapeId="0" xr:uid="{4EF0B2C5-588D-4525-97BC-8B12E9C1D3D8}">
      <text>
        <t>[Threaded comment]
Your version of Excel allows you to read this threaded comment; however, any edits to it will get removed if the file is opened in a newer version of Excel. Learn more: https://go.microsoft.com/fwlink/?linkid=870924
Comment:
    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
      </text>
    </comment>
    <comment ref="C146" authorId="17" shapeId="0" xr:uid="{AE3051BB-33C1-411B-8FC6-9AEB00620035}">
      <text>
        <t>[Threaded comment]
Your version of Excel allows you to read this threaded comment; however, any edits to it will get removed if the file is opened in a newer version of Excel. Learn more: https://go.microsoft.com/fwlink/?linkid=870924
Comment:
    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
      </text>
    </comment>
    <comment ref="C150" authorId="18" shapeId="0" xr:uid="{6DE50D12-826F-48AE-86EB-767545F7DCE9}">
      <text>
        <t>[Threaded comment]
Your version of Excel allows you to read this threaded comment; however, any edits to it will get removed if the file is opened in a newer version of Excel. Learn more: https://go.microsoft.com/fwlink/?linkid=870924
Comment:
    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
      </text>
    </comment>
    <comment ref="C151" authorId="19" shapeId="0" xr:uid="{7F2DAEA1-E89D-481E-9E3C-BFC0B6A56108}">
      <text>
        <t>[Threaded comment]
Your version of Excel allows you to read this threaded comment; however, any edits to it will get removed if the file is opened in a newer version of Excel. Learn more: https://go.microsoft.com/fwlink/?linkid=870924
Comment:
    1.6	sixth, to pay all amounts due and payable under the Liquidity Facility other than in respect of principal;</t>
      </text>
    </comment>
    <comment ref="C152" authorId="20" shapeId="0" xr:uid="{4A711656-5576-4761-B05C-7258BFF9F599}">
      <text>
        <t>[Threaded comment]
Your version of Excel allows you to read this threaded comment; however, any edits to it will get removed if the file is opened in a newer version of Excel. Learn more: https://go.microsoft.com/fwlink/?linkid=870924
Comment:
    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
      </text>
    </comment>
    <comment ref="C156" authorId="21" shapeId="0" xr:uid="{E71882E1-EDED-45B5-B0AE-FA945CD99904}">
      <text>
        <t>[Threaded comment]
Your version of Excel allows you to read this threaded comment; however, any edits to it will get removed if the file is opened in a newer version of Excel. Learn more: https://go.microsoft.com/fwlink/?linkid=870924
Comment:
    1.8	eighth, subject to a Class B Interest Deferral Event not having occurred on or prior to that Interest Payment Date, to pay or provide for all amounts due and payable in respect of the Class B Notes other than in respect of principal on the Class B Notes;</t>
      </text>
    </comment>
    <comment ref="C157" authorId="22" shapeId="0" xr:uid="{EE11A09C-D140-48FD-BEF6-446B09AF87A7}">
      <text>
        <t>[Threaded comment]
Your version of Excel allows you to read this threaded comment; however, any edits to it will get removed if the file is opened in a newer version of Excel. Learn more: https://go.microsoft.com/fwlink/?linkid=870924
Comment:
    1.9	ninth, in the event only that a substitute Servicer assumes the role of Servicer, to pay or provide the Subordinated Servicing Fee, if any (inclusive of VAT, if any) due and payable to the substitute Servicer on such Interest Payment Date;</t>
      </text>
    </comment>
    <comment ref="C158" authorId="23" shapeId="0" xr:uid="{4BB103A7-C12A-46C2-A4F3-EF62DD3A5143}">
      <text>
        <t>[Threaded comment]
Your version of Excel allows you to read this threaded comment; however, any edits to it will get removed if the file is opened in a newer version of Excel. Learn more: https://go.microsoft.com/fwlink/?linkid=870924
Comment:
    1.10	tenth, subject to a Class C Interest Deferral Event not having occurred on or prior to that Interest Payment Date, to pay or to provide for all amounts due and payable in respect of the Class C Notes other than in respect of principal on the Class C Notes;</t>
      </text>
    </comment>
    <comment ref="C159" authorId="24" shapeId="0" xr:uid="{76DA3512-035E-4D51-BCA6-0B78CAFCC8CE}">
      <text>
        <t>[Threaded comment]
Your version of Excel allows you to read this threaded comment; however, any edits to it will get removed if the file is opened in a newer version of Excel. Learn more: https://go.microsoft.com/fwlink/?linkid=870924
Comment:
    1.11	eleventh, to repay all principal amounts outstanding under the Liquidity Facility as at the immediately preceding Determination Date up to an amount equal to the Potential Redemption Amount;</t>
      </text>
    </comment>
    <comment ref="C160" authorId="25" shapeId="0" xr:uid="{D8E24E90-1C71-4F59-B68C-6A2F96AED2A2}">
      <text>
        <t>[Threaded comment]
Your version of Excel allows you to read this threaded comment; however, any edits to it will get removed if the file is opened in a newer version of Excel. Learn more: https://go.microsoft.com/fwlink/?linkid=870924
Comment:
    1.12	twelfth, provided that a Stop-Lending Trigger Event has not occurred, to fund the advance by the Issuer of Redraws and Re-Advances up to an amount equal to the Potential Redemption Amount less the sum of the amounts applied under item 1.11 above;</t>
      </text>
    </comment>
    <comment ref="C161" authorId="26" shapeId="0" xr:uid="{8915FF90-9447-4886-A376-8FA744DEE1AF}">
      <text>
        <t>[Threaded comment]
Your version of Excel allows you to read this threaded comment; however, any edits to it will get removed if the file is opened in a newer version of Excel. Learn more: https://go.microsoft.com/fwlink/?linkid=870924
Comment:
    1.13	thirteenth, provided that a Stop-Lending Trigger Event has not occurred, to fund the advance by the Issuer of Further Advances and, during the Revolving Period only, to fund the purchase by the Issuer of Additional Assets, equal to the greater of zero and up to the lower of:</t>
      </text>
    </comment>
    <comment ref="C162" authorId="27" shapeId="0" xr:uid="{3B3014CA-6FA6-4C7D-82B3-F025E4CC9439}">
      <text>
        <t>[Threaded comment]
Your version of Excel allows you to read this threaded comment; however, any edits to it will get removed if the file is opened in a newer version of Excel. Learn more: https://go.microsoft.com/fwlink/?linkid=870924
Comment:
    1.15	fifteenth, if there are Class A Notes outstanding on such Interest Payment Date, to allocate an amount to be applied in redeeming the Notes (in the manner set out in paragraph 3 below) equal to the greater of zero and the Potential Redemption Amount less the sum of the amounts applied under items 1.11 to 1.14 above;
3.	The amount allocated for redemption of the Notes under items 1.15 of the Pre-Enforcement Priority of Payments will be divided into the Class A Redemption Amount, the Class B Redemption Amount and the Class C Redemption Amount. The Class A Redemption Amount will be allocated firstly to the Class A1 Notes and then pro rata to the Class A2 Notes and the Class A3 Notes provided that no amount shall be allocated to the Class A3 Notes if a Class A Principal Lock Out in respect of the Class A3 Notes applies.</t>
      </text>
    </comment>
    <comment ref="C169" authorId="28" shapeId="0" xr:uid="{8CCAE6B2-AE0E-4885-947C-FA34D9DB54CD}">
      <text>
        <t>[Threaded comment]
Your version of Excel allows you to read this threaded comment; however, any edits to it will get removed if the file is opened in a newer version of Excel. Learn more: https://go.microsoft.com/fwlink/?linkid=870924
Comment:
    1.16	sixteenth, to credit the Arrears Reserve up to the Arrears Reserve Required Amount;</t>
      </text>
    </comment>
    <comment ref="C170" authorId="29" shapeId="0" xr:uid="{FFC2379A-E090-46D8-94E4-F98CFB11B04F}">
      <text>
        <t>[Threaded comment]
Your version of Excel allows you to read this threaded comment; however, any edits to it will get removed if the file is opened in a newer version of Excel. Learn more: https://go.microsoft.com/fwlink/?linkid=870924
Comment:
    1.17	seventeenth, if a Class B Interest Deferral Event has occurred on or prior to such Interest Payment Date, to pay interest due and payable in respect of the Class B Notes;</t>
      </text>
    </comment>
    <comment ref="C171" authorId="30" shapeId="0" xr:uid="{B29D4692-1266-4063-B1AB-4B0C062F82E5}">
      <text>
        <t>[Threaded comment]
Your version of Excel allows you to read this threaded comment; however, any edits to it will get removed if the file is opened in a newer version of Excel. Learn more: https://go.microsoft.com/fwlink/?linkid=870924
Comment:
    1.18	eighteenth, if there are no Class A Notes outstanding on such Interest Payment Date, to allocate an amount to be applied in redeeming the remaining Notes (in the manner set out in paragraph 4 below) equal to the greater of zero and the Potential Redemption Amount less the sum of the amounts applied under items 1.11 to 1.15 above;
4.	The amount allocated for redemption of the Notes under item 1.18 of the Pre-Enforcement Priority of Payments will be divided into the Class B Redemption Amount and the Class C Redemption Amount.</t>
      </text>
    </comment>
    <comment ref="C174" authorId="31" shapeId="0" xr:uid="{499BDA6B-50A1-48EF-ADC4-7009B8F017F1}">
      <text>
        <t>[Threaded comment]
Your version of Excel allows you to read this threaded comment; however, any edits to it will get removed if the file is opened in a newer version of Excel. Learn more: https://go.microsoft.com/fwlink/?linkid=870924
Comment:
    1.16	sixteenth, to credit the Arrears Reserve up to the Arrears Reserve Required Amount;</t>
      </text>
    </comment>
    <comment ref="C175" authorId="32" shapeId="0" xr:uid="{1B10D766-4AAE-4390-A3E6-B3B803186CC3}">
      <text>
        <t>[Threaded comment]
Your version of Excel allows you to read this threaded comment; however, any edits to it will get removed if the file is opened in a newer version of Excel. Learn more: https://go.microsoft.com/fwlink/?linkid=870924
Comment:
    1.19	nineteenth, if a Class C Interest Deferral Event has occurred on or prior to such Interest Payment Date, to pay interest due and payable in respect of the Class C Notes;</t>
      </text>
    </comment>
    <comment ref="C176" authorId="33" shapeId="0" xr:uid="{B08F99F5-A5D9-4827-A24F-0B439EE20CDF}">
      <text>
        <t>[Threaded comment]
Your version of Excel allows you to read this threaded comment; however, any edits to it will get removed if the file is opened in a newer version of Excel. Learn more: https://go.microsoft.com/fwlink/?linkid=870924
Comment:
    1.20	twentieth, if there are no Class B Notes outstanding on such Interest Payment Date, to allocate an amount to be applied in redeeming the Class C Notes (in the manner set out in paragraph 5 below) equal to the greater of zero and the Potential Redemption Amount less the sum of the amounts applied under items 1.11 to 1.15 and 1.18 above;
5.	The amount allocated for redemption of the Notes under item 1.20 of the Pre-Enforcement Priority of Payments will be allocated in full to the Class C Redemption Amount.</t>
      </text>
    </comment>
    <comment ref="C178" authorId="34" shapeId="0" xr:uid="{B5964D72-467E-4B99-AF61-F2507097C0B5}">
      <text>
        <t>[Threaded comment]
Your version of Excel allows you to read this threaded comment; however, any edits to it will get removed if the file is opened in a newer version of Excel. Learn more: https://go.microsoft.com/fwlink/?linkid=870924
Comment:
    1.21	twenty-first, to pay or provide for pari passu and pro rata the Derivative Termination Amounts due and payable to any Derivative Counterparty under the Derivative Contracts where the Derivative Counterparty is in default;</t>
      </text>
    </comment>
    <comment ref="C179" authorId="35" shapeId="0" xr:uid="{075E0EE1-3F4B-4F87-A971-969855923484}">
      <text>
        <t>[Threaded comment]
Your version of Excel allows you to read this threaded comment; however, any edits to it will get removed if the file is opened in a newer version of Excel. Learn more: https://go.microsoft.com/fwlink/?linkid=870924
Comment:
    1.22	twenty-second,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theat Latest Coupon Step-Up Date;</t>
      </text>
    </comment>
    <comment ref="C180" authorId="36" shapeId="0" xr:uid="{2576D12E-F45D-4FFC-BD1B-ED4DFE666D1A}">
      <text>
        <t>[Threaded comment]
Your version of Excel allows you to read this threaded comment; however, any edits to it will get removed if the file is opened in a newer version of Excel. Learn more: https://go.microsoft.com/fwlink/?linkid=870924
Comment:
    1.23	twenty-third, provided that the Subordinated Servicing Fee was not paid or provided for under item 1.9 above, to pay the Subordinated Servicing Fee due and payable to the Servicer on each Interest Payment Date, if any (inclusive of VAT, if any); provided that there is no Principal Deficiency on such Interest Payment Date and no Event of Default;</t>
      </text>
    </comment>
    <comment ref="C181" authorId="37" shapeId="0" xr:uid="{1F170452-B3F4-4B93-A0DE-8CC58EBFC9E2}">
      <text>
        <t>[Threaded comment]
Your version of Excel allows you to read this threaded comment; however, any edits to it will get removed if the file is opened in a newer version of Excel. Learn more: https://go.microsoft.com/fwlink/?linkid=870924
Comment:
    1.24	twenty-forth, to pay amounts due and payable in respect of the Subordinated Loan;</t>
      </text>
    </comment>
    <comment ref="C185" authorId="38" shapeId="0" xr:uid="{90EC91CE-F987-48CA-81B1-BB4EE9B910B5}">
      <text>
        <t>[Threaded comment]
Your version of Excel allows you to read this threaded comment; however, any edits to it will get removed if the file is opened in a newer version of Excel. Learn more: https://go.microsoft.com/fwlink/?linkid=870924
Comment:
    1.25	twenty-fifth, to pay or provide for the dividend due and payable to the Preference Shareholder, net of Taxes; and</t>
      </text>
    </comment>
    <comment ref="C186" authorId="39" shapeId="0" xr:uid="{082A9997-9BC0-4595-BB4C-E41836258B3E}">
      <text>
        <t>[Threaded comment]
Your version of Excel allows you to read this threaded comment; however, any edits to it will get removed if the file is opened in a newer version of Excel. Learn more: https://go.microsoft.com/fwlink/?linkid=870924
Comment:
    1.26	twenty-sixth,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t>
      </text>
    </comment>
  </commentList>
</comments>
</file>

<file path=xl/sharedStrings.xml><?xml version="1.0" encoding="utf-8"?>
<sst xmlns="http://schemas.openxmlformats.org/spreadsheetml/2006/main" count="493" uniqueCount="375">
  <si>
    <r>
      <t xml:space="preserve">Urban Ubomi 1 (RF) Limited
</t>
    </r>
    <r>
      <rPr>
        <sz val="10"/>
        <color theme="1"/>
        <rFont val="Aptos Narrow"/>
        <family val="2"/>
        <scheme val="minor"/>
      </rPr>
      <t>registration number 2019/504294/06</t>
    </r>
  </si>
  <si>
    <t>Administration Report</t>
  </si>
  <si>
    <t>Administration Report Date</t>
  </si>
  <si>
    <t>Based on information as at current Determination Date ("DD")</t>
  </si>
  <si>
    <t>Last Collection Period ("CP")</t>
  </si>
  <si>
    <t>From previous DD</t>
  </si>
  <si>
    <t>To current DD</t>
  </si>
  <si>
    <t>Number of days in CP</t>
  </si>
  <si>
    <t>Interest Payment Date ("IPD")</t>
  </si>
  <si>
    <t>Last Interest Period ("IP")</t>
  </si>
  <si>
    <t>From previous IPD</t>
  </si>
  <si>
    <t>To current IPD</t>
  </si>
  <si>
    <t>Number of days in IP</t>
  </si>
  <si>
    <t>Total Outstanding Principal Amount at Issue Date</t>
  </si>
  <si>
    <t>Total Outstanding Principal Amount at Current DD</t>
  </si>
  <si>
    <t>Total Outstanding Principal Amount following current IPD</t>
  </si>
  <si>
    <t>Administrator</t>
  </si>
  <si>
    <t>Note Breakdown</t>
  </si>
  <si>
    <t xml:space="preserve">Class </t>
  </si>
  <si>
    <t>Class A1</t>
  </si>
  <si>
    <t>Class A4</t>
  </si>
  <si>
    <t>Class A7</t>
  </si>
  <si>
    <t>Class A10</t>
  </si>
  <si>
    <t>Class A2</t>
  </si>
  <si>
    <t>Class A5</t>
  </si>
  <si>
    <t>Class A8</t>
  </si>
  <si>
    <t>Class A9</t>
  </si>
  <si>
    <t>Class A11</t>
  </si>
  <si>
    <t>Class A13</t>
  </si>
  <si>
    <t>Class B</t>
  </si>
  <si>
    <t>Class C</t>
  </si>
  <si>
    <t>ISIN Code</t>
  </si>
  <si>
    <t>ZAG000175001</t>
  </si>
  <si>
    <t>ZAG000183567</t>
  </si>
  <si>
    <t>ZAG000191875</t>
  </si>
  <si>
    <t>ZAG000195637</t>
  </si>
  <si>
    <t>ZAG000175019</t>
  </si>
  <si>
    <t>ZAG000183542</t>
  </si>
  <si>
    <t>ZAG000192006</t>
  </si>
  <si>
    <t>ZAG000192014</t>
  </si>
  <si>
    <t>ZAG000195645</t>
  </si>
  <si>
    <t>ZAG000204702</t>
  </si>
  <si>
    <t>ZAG000175035</t>
  </si>
  <si>
    <t>ZAG000183591</t>
  </si>
  <si>
    <t>ZAG000195652</t>
  </si>
  <si>
    <t>ZAG000175043</t>
  </si>
  <si>
    <t>ZAG000183609</t>
  </si>
  <si>
    <t>ZAG000195611</t>
  </si>
  <si>
    <t>ZAG000191909</t>
  </si>
  <si>
    <t>JSE Listing Code</t>
  </si>
  <si>
    <t>UU1A01</t>
  </si>
  <si>
    <t>UU1A04</t>
  </si>
  <si>
    <t>UU1A07</t>
  </si>
  <si>
    <t>UU1A10</t>
  </si>
  <si>
    <t>UU1A02</t>
  </si>
  <si>
    <t>UU1A05</t>
  </si>
  <si>
    <t>UU1A08</t>
  </si>
  <si>
    <t>UU1A09</t>
  </si>
  <si>
    <t>UU1A11</t>
  </si>
  <si>
    <t>UU1A13</t>
  </si>
  <si>
    <t>UU1B01</t>
  </si>
  <si>
    <t>UU1B02</t>
  </si>
  <si>
    <t>UU1B04</t>
  </si>
  <si>
    <t>UU1C01</t>
  </si>
  <si>
    <t>UU1C02</t>
  </si>
  <si>
    <t>UU1C04</t>
  </si>
  <si>
    <t>UU1C03</t>
  </si>
  <si>
    <t>Rate type</t>
  </si>
  <si>
    <t>Floating</t>
  </si>
  <si>
    <t>Fixed</t>
  </si>
  <si>
    <t xml:space="preserve">Margin for Interest Rate </t>
  </si>
  <si>
    <t>N/A</t>
  </si>
  <si>
    <t>Margin for Coupon Step-Up Rate</t>
  </si>
  <si>
    <t>Reference Rate for last IP</t>
  </si>
  <si>
    <t>Interest Rate for last IP</t>
  </si>
  <si>
    <t>Outstanding Principal Amount at Issue Date</t>
  </si>
  <si>
    <t>% of Notes at Issue Date</t>
  </si>
  <si>
    <t>% of Assets at Issue Date</t>
  </si>
  <si>
    <t>Total CE as % of Assets at Issue Date</t>
  </si>
  <si>
    <t>Outstanding Principal Amount at current DD</t>
  </si>
  <si>
    <t>Interest Due on current IPD</t>
  </si>
  <si>
    <t>Interest Paid on current IPD</t>
  </si>
  <si>
    <t xml:space="preserve">Interest shortfall </t>
  </si>
  <si>
    <t>Redemption Amount</t>
  </si>
  <si>
    <t>Outstanding Principal Amount following current IPD</t>
  </si>
  <si>
    <t>% of Notes following current IPD</t>
  </si>
  <si>
    <t>% of Assets following current IPD</t>
  </si>
  <si>
    <t>Total CE as % of Assets following current IPD</t>
  </si>
  <si>
    <t>Final Redemption Date</t>
  </si>
  <si>
    <t>Scheduled Maturity Date / Coupon Step-Up Date</t>
  </si>
  <si>
    <t>Reference Rate for next IP</t>
  </si>
  <si>
    <t>Interest Rate for next IP</t>
  </si>
  <si>
    <t>Rating on Issue Date</t>
  </si>
  <si>
    <t>AAA(za)(sf)</t>
  </si>
  <si>
    <t>AA+(za)(sf)</t>
  </si>
  <si>
    <t>A+(za)(sf)</t>
  </si>
  <si>
    <t>BBB(za)(sf)</t>
  </si>
  <si>
    <t>Rating on IPD</t>
  </si>
  <si>
    <t>Withdrawn (Paid in full)</t>
  </si>
  <si>
    <t>BBB+(za)(sf)</t>
  </si>
  <si>
    <t>Transaction Account Movement over last Collection Period</t>
  </si>
  <si>
    <t>Opening balances</t>
  </si>
  <si>
    <t>Transaction Account opening balance on last DD</t>
  </si>
  <si>
    <t>Total payments out of Transaction Account on last IPD</t>
  </si>
  <si>
    <t>Residual of Transaction Account opening balance from last DD following payments out on last IPD</t>
  </si>
  <si>
    <t>Retained surplus from PoP</t>
  </si>
  <si>
    <t>Capital Reserve</t>
  </si>
  <si>
    <t>Arrears Reserve</t>
  </si>
  <si>
    <t>Incoming cash flows</t>
  </si>
  <si>
    <t>Total issuance proceeds during CP</t>
  </si>
  <si>
    <t>from Notes</t>
  </si>
  <si>
    <t>from Subordinated Loan</t>
  </si>
  <si>
    <t>Total interest receipts on Transaction Account and Permitted Investments during CP</t>
  </si>
  <si>
    <t>Interest received during CP on balance in Transaction Account</t>
  </si>
  <si>
    <t>Interest received during CP from Permitted Investments</t>
  </si>
  <si>
    <t>Total collection receipts during CP from Participating Assets</t>
  </si>
  <si>
    <t>Repayments</t>
  </si>
  <si>
    <t>Prepayments</t>
  </si>
  <si>
    <t xml:space="preserve">Enforcement and recovery proceeds </t>
  </si>
  <si>
    <t>principal portion</t>
  </si>
  <si>
    <t>Interest portion</t>
  </si>
  <si>
    <t>Insurance Proceeds</t>
  </si>
  <si>
    <t xml:space="preserve">Sale of Participating Asset proceeds </t>
  </si>
  <si>
    <t>Ordinary Disposals</t>
  </si>
  <si>
    <t>Substitution Disposals</t>
  </si>
  <si>
    <t>Interest receipts</t>
  </si>
  <si>
    <t>Fees and costs</t>
  </si>
  <si>
    <t>Net settlements on Derivatives and Derivative Termination Amounts</t>
  </si>
  <si>
    <t>Other receipts into Transaction Account during CP</t>
  </si>
  <si>
    <t>Outgoing cash flows</t>
  </si>
  <si>
    <t>Payment of Excluded Items during CP</t>
  </si>
  <si>
    <t>Monies belonging to 3rd parties</t>
  </si>
  <si>
    <t>Reconciliation amounts under Sale Agreement(s)</t>
  </si>
  <si>
    <t>Purchase Price under Sale Agreement(s)</t>
  </si>
  <si>
    <t>from proceeds of issue of Notes and Subordinated Loan (incl. Pre-Funding Amount)</t>
  </si>
  <si>
    <t>from proceeds of Substitution disposal</t>
  </si>
  <si>
    <t>from Capital Reserve</t>
  </si>
  <si>
    <t>Advances to Borrowers under Sale Agreement</t>
  </si>
  <si>
    <t>Repayments to Liquidity Facility on Latest Coupon Step-Up Date</t>
  </si>
  <si>
    <t>Reversal of double payment of instalments</t>
  </si>
  <si>
    <t>Refinancing Note proceeds paid to Refinanced Notes</t>
  </si>
  <si>
    <t>Closing balances</t>
  </si>
  <si>
    <t>Transaction Acount closing balance on current DD for Availability Priorty of Payments</t>
  </si>
  <si>
    <t>Retained surplus from PoP from previous PD</t>
  </si>
  <si>
    <t>Net receipts during CP</t>
  </si>
  <si>
    <t>Swap</t>
  </si>
  <si>
    <t>112 Hopkins Settlement (Pmt reflected in Nov)</t>
  </si>
  <si>
    <t>27 Oct substitution settlement and paid in Nov</t>
  </si>
  <si>
    <t>Potential Redemption Amount ("PRA")</t>
  </si>
  <si>
    <t>Collections transferred in Aug</t>
  </si>
  <si>
    <t>Legal fees - Not yet paid</t>
  </si>
  <si>
    <t>PRA on current DD</t>
  </si>
  <si>
    <t>Inter-company payments still be made</t>
  </si>
  <si>
    <t>Asset transfer recon collections adjustments. - To be transferred to UU1</t>
  </si>
  <si>
    <t>Principal Collections during CP</t>
  </si>
  <si>
    <t>Oshimbo Collection to be transferred</t>
  </si>
  <si>
    <t>Legal fees and Insurance - Not yet paid</t>
  </si>
  <si>
    <t xml:space="preserve">(plus) 50% of balance(s) of new NPLs in preceding Collection Period </t>
  </si>
  <si>
    <t>Padova collection to be transferred</t>
  </si>
  <si>
    <r>
      <t xml:space="preserve">(plus) Principal Deficiency amount from </t>
    </r>
    <r>
      <rPr>
        <u/>
        <sz val="11"/>
        <color theme="1"/>
        <rFont val="Calibri (Body)"/>
      </rPr>
      <t>previous</t>
    </r>
    <r>
      <rPr>
        <sz val="11"/>
        <color theme="1"/>
        <rFont val="Aptos Narrow"/>
        <family val="2"/>
        <scheme val="minor"/>
      </rPr>
      <t xml:space="preserve"> DD</t>
    </r>
  </si>
  <si>
    <t>(less) Repayments and Prepayments used for Redraws, Re-Advances and Further Advances during CP</t>
  </si>
  <si>
    <t>(plus) Advances under the Liquidity Facility during CP</t>
  </si>
  <si>
    <t>(plus) Capital Reserve excess</t>
  </si>
  <si>
    <t>Principal Deficiency Ledger</t>
  </si>
  <si>
    <t>PRA at current DD</t>
  </si>
  <si>
    <t>Cash available in Availability Period Priority of Payment after item 9 on current DD</t>
  </si>
  <si>
    <t>Principal Deficiency on current IPD</t>
  </si>
  <si>
    <t>Interest Deferral Event</t>
  </si>
  <si>
    <t>Prior PD Amount</t>
  </si>
  <si>
    <t>Threshold</t>
  </si>
  <si>
    <t>Prior Deferral (Y/N)</t>
  </si>
  <si>
    <t>Deferral (Y/N)</t>
  </si>
  <si>
    <t xml:space="preserve">Class B Interest deferral Event </t>
  </si>
  <si>
    <t>N</t>
  </si>
  <si>
    <t>Class C Interest Deferral Event</t>
  </si>
  <si>
    <t>Principal Lock-Outs</t>
  </si>
  <si>
    <t>Prior to Latest Coupon Step-Up Date (Y/N)</t>
  </si>
  <si>
    <t>Y</t>
  </si>
  <si>
    <t>Outstanding Principal Amount Class A1 and Class A2 greater than Class A Redemption Amount (Y/N)</t>
  </si>
  <si>
    <t>Event of Default (Y/N)</t>
  </si>
  <si>
    <t>Class A Principal Lock-Out for Class A3 on IPD (Y/N)</t>
  </si>
  <si>
    <t>Class A Notes Outstanding (Y/N) and</t>
  </si>
  <si>
    <t>Interest Payment Date prior to Latest Coupon Step-Up Date; or</t>
  </si>
  <si>
    <t>Is Class B and Class C ratio &lt; 2x ratio as at latest Issue Date (Y/N); or</t>
  </si>
  <si>
    <t xml:space="preserve">Outstanding Principal Amount of all Notes less than 10% (Y/N); or </t>
  </si>
  <si>
    <t>Principal Deficiency on immediately preceding IPD (Y/N)</t>
  </si>
  <si>
    <t>Non-Performing Assets exceeds 10% of Participating Assets (Y/N);</t>
  </si>
  <si>
    <t xml:space="preserve">Outstanding Principal Amount of Class B and Class C less than 2 times of single Borrower (Y/N) </t>
  </si>
  <si>
    <t>Arrears Reserve not funded to Arrears Reserve Required Amount on immediately preceding IPD (Y/N)</t>
  </si>
  <si>
    <t>Class B Principal Lock-Out on IPD (Y/N)</t>
  </si>
  <si>
    <t>Class B Notes Outstanding (Y/N)</t>
  </si>
  <si>
    <t>Class C Principal Lock-Out on IPD (Y/N)</t>
  </si>
  <si>
    <t xml:space="preserve">Pre-Enforcement Priority of Payments </t>
  </si>
  <si>
    <t>1.1 Tax</t>
  </si>
  <si>
    <t xml:space="preserve">Amount Due / Provided </t>
  </si>
  <si>
    <t>Cash Available 
(incl. Liquidity Facility if applicable)</t>
  </si>
  <si>
    <t>Amount Paid / Provided for</t>
  </si>
  <si>
    <t>1.2 pari passu and pro rata</t>
  </si>
  <si>
    <t>1.2.1 Security SPV</t>
  </si>
  <si>
    <t>1.2.2 Owner Trustee</t>
  </si>
  <si>
    <t>1.3 pari passu and pro rata</t>
  </si>
  <si>
    <t xml:space="preserve">1.3.1 Account Bank </t>
  </si>
  <si>
    <t>1.3.2 third parties</t>
  </si>
  <si>
    <t>1.4 pari passu and pro rata</t>
  </si>
  <si>
    <t>1.4.1 Senior Servicing Fee</t>
  </si>
  <si>
    <t xml:space="preserve">1.4.2 Back-Up Servicing Fee </t>
  </si>
  <si>
    <t xml:space="preserve">1.4.3 Administrator Fee </t>
  </si>
  <si>
    <t>1.5 Derivative Net Settlement and Termination Amounts</t>
  </si>
  <si>
    <t>1.6 Liquidity Facility (not applicable)</t>
  </si>
  <si>
    <t>1.7 pari passu and pro rata (other than principal)</t>
  </si>
  <si>
    <t>6.1. Class A13</t>
  </si>
  <si>
    <t>6.2. Class A2, Class A5 &amp; Class A8</t>
  </si>
  <si>
    <t>6.3. Class A9</t>
  </si>
  <si>
    <t>1.8 Class B (other than principal) if no Class B IDE</t>
  </si>
  <si>
    <t>1.9 Class C (other than principal) if no Class C IDE</t>
  </si>
  <si>
    <t>1.10 Liquidity Facility principal (not applicable)</t>
  </si>
  <si>
    <t xml:space="preserve">1.11 Redraws and Re-Advances </t>
  </si>
  <si>
    <t xml:space="preserve">1.12 Further Advances and Additional Assets </t>
  </si>
  <si>
    <t xml:space="preserve">1.13 Capital Reserve </t>
  </si>
  <si>
    <t xml:space="preserve">1.14 Redemption of Notes if Class A outstanding </t>
  </si>
  <si>
    <t xml:space="preserve">Class A Redemption Amount </t>
  </si>
  <si>
    <t>Class A2, Class A5, Class A8 &amp; Class A11</t>
  </si>
  <si>
    <t>Class B Redemption Amount</t>
  </si>
  <si>
    <t>Class C Redemption Amount</t>
  </si>
  <si>
    <t>1.15 Arrears Reserve top up if Class A Outstanding</t>
  </si>
  <si>
    <t>1.16 Class B (other than principal) if Class B IDE</t>
  </si>
  <si>
    <t>1.17 Redemption of Notes if no Class A but Class B outstanding</t>
  </si>
  <si>
    <t>1.18 Arrears Reserve top up if no Class A Outstanding</t>
  </si>
  <si>
    <t>1.19 Class C (other than principal) if Class C IDE</t>
  </si>
  <si>
    <t>1.20 Redemption of Notes if no Class B but Class C outstanding</t>
  </si>
  <si>
    <t xml:space="preserve">1.21 Derivative Termination Amounts </t>
  </si>
  <si>
    <t>1.22 Redemption of the Notes if after Latest Coupon Step-Up Date</t>
  </si>
  <si>
    <t>1.23 Subordinated Derivative net settlements and Derivative Termination Amounts</t>
  </si>
  <si>
    <t xml:space="preserve">1.24 Subordinated Loan </t>
  </si>
  <si>
    <t xml:space="preserve">Interest </t>
  </si>
  <si>
    <t>Deferred Interest</t>
  </si>
  <si>
    <t xml:space="preserve">Principal </t>
  </si>
  <si>
    <t>1.25 Dividend to Preference Shareholder</t>
  </si>
  <si>
    <t>1.26 Invest surplus or pay to ordinary shareholder</t>
  </si>
  <si>
    <t>Totals</t>
  </si>
  <si>
    <t>Arrears Reserve Ledger</t>
  </si>
  <si>
    <t>Arrears Reserve Required Amount on previous IPD</t>
  </si>
  <si>
    <t>Arrears Reserve on previous IPD</t>
  </si>
  <si>
    <t>Arrears Reserve Required Amount on current IPD</t>
  </si>
  <si>
    <t>Amount released from Arrears Reserve on current IPD</t>
  </si>
  <si>
    <t>Amount added to Arrears Reserve on current IPD</t>
  </si>
  <si>
    <t>Arrears Reserve on current IPD</t>
  </si>
  <si>
    <t>Capital Reserve Ledger</t>
  </si>
  <si>
    <t>Capital Reserve balance on last IPD</t>
  </si>
  <si>
    <t>Payments into Capital Reserve during CP</t>
  </si>
  <si>
    <t>Payments out of Capital Reserve during CP</t>
  </si>
  <si>
    <t>Capital Reserve balance on current DD</t>
  </si>
  <si>
    <t>Payments out of Capital Reserve on IPD</t>
  </si>
  <si>
    <t>Payments into Capital Reserve on IPD</t>
  </si>
  <si>
    <t>Capital Reserve balance on current IPD</t>
  </si>
  <si>
    <t>Subordinated Loan</t>
  </si>
  <si>
    <t>Margin</t>
  </si>
  <si>
    <t>Date</t>
  </si>
  <si>
    <t>Base Rate</t>
  </si>
  <si>
    <t>Loan</t>
  </si>
  <si>
    <t>aggregate Subordinated Loan</t>
  </si>
  <si>
    <t>Subordinated Loan as at last IPD after PoP</t>
  </si>
  <si>
    <t>Subordinated Loans advanced during IP</t>
  </si>
  <si>
    <t>Loan 1</t>
  </si>
  <si>
    <t>Loan 2</t>
  </si>
  <si>
    <t>Loan 3</t>
  </si>
  <si>
    <t>Subordinated Loan outstanding on IPD</t>
  </si>
  <si>
    <t xml:space="preserve">Interest due on IPD for the IP </t>
  </si>
  <si>
    <t xml:space="preserve">Unpaid Interest from previous IPDs </t>
  </si>
  <si>
    <t>Interest paid on IPD</t>
  </si>
  <si>
    <t>Interest shortfall on IPD</t>
  </si>
  <si>
    <t>Deferred Interest paid on IPD</t>
  </si>
  <si>
    <t>Subordinated Loan repayment on IPD</t>
  </si>
  <si>
    <t>Subordinate Loan outstanding and unpaid interest on current PD</t>
  </si>
  <si>
    <t>Servicer Report</t>
  </si>
  <si>
    <t xml:space="preserve">Servicer Report Date: </t>
  </si>
  <si>
    <t>Based on information as at current Determination Date ("DD"):</t>
  </si>
  <si>
    <t>From previous DD:</t>
  </si>
  <si>
    <t>To current DD:</t>
  </si>
  <si>
    <t>Number of days in CP:</t>
  </si>
  <si>
    <t>Availability Period</t>
  </si>
  <si>
    <t>Start date:</t>
  </si>
  <si>
    <t>Projected end date:</t>
  </si>
  <si>
    <t>Final Maturity Date:</t>
  </si>
  <si>
    <t>Base Rate:</t>
  </si>
  <si>
    <t>Reset Date</t>
  </si>
  <si>
    <t>Last date:</t>
  </si>
  <si>
    <t>Next date:</t>
  </si>
  <si>
    <t>Servicer:</t>
  </si>
  <si>
    <t>Back-Up Servicer:</t>
  </si>
  <si>
    <t>Mettle Credit Services Proprietary Limited</t>
  </si>
  <si>
    <t>Participating Assets - movements in CP</t>
  </si>
  <si>
    <t>Opening balances as at previous DD</t>
  </si>
  <si>
    <t>Participating Assets as at previous DD:</t>
  </si>
  <si>
    <t>New Participating Assets during CP</t>
  </si>
  <si>
    <t>Acquisitions of Loan Agreements during CP:</t>
  </si>
  <si>
    <t>Ordinary Acquisitions</t>
  </si>
  <si>
    <t>Substitution Acquisitions</t>
  </si>
  <si>
    <t>Further Advances in respect of existing Loan Agreements during CP:</t>
  </si>
  <si>
    <t>Cash Advances</t>
  </si>
  <si>
    <t>Capitalised costs</t>
  </si>
  <si>
    <t>Amounts Due during current CP</t>
  </si>
  <si>
    <t>Scheduled Instalments due during current CP:</t>
  </si>
  <si>
    <t>Instalments due - Repayments:</t>
  </si>
  <si>
    <t>Instalments due - Interest:</t>
  </si>
  <si>
    <t>Instalments due - Fees and Costs:</t>
  </si>
  <si>
    <t>Cash flow receipts during current CP</t>
  </si>
  <si>
    <t>Instalment receipts during current CP:</t>
  </si>
  <si>
    <t>Instalments - Repayments:</t>
  </si>
  <si>
    <t>Instalments - Interest:</t>
  </si>
  <si>
    <t>Instalments - Fees and Costs:</t>
  </si>
  <si>
    <t>Prepayments:</t>
  </si>
  <si>
    <t>Insurance Proceeds:</t>
  </si>
  <si>
    <t>Enforcement proceeds:</t>
  </si>
  <si>
    <t>Recoveries and disposal proceeds:</t>
  </si>
  <si>
    <t>Closing balances as at current DD</t>
  </si>
  <si>
    <t>Participating Assets as at current DD:</t>
  </si>
  <si>
    <t>Participating Assets - ageing analysis</t>
  </si>
  <si>
    <t>on previous DD</t>
  </si>
  <si>
    <t>on current DD</t>
  </si>
  <si>
    <t>Current and Advanced - 0 days in arrears:</t>
  </si>
  <si>
    <t>Early arrears:</t>
  </si>
  <si>
    <t>&gt; 0 &amp; &lt; 30 days in arrears:</t>
  </si>
  <si>
    <t>≥ 30 &amp; &lt; 60 days in arrears:</t>
  </si>
  <si>
    <t>≥ 60 &amp; &lt; 90 days in arrears:</t>
  </si>
  <si>
    <t>Non-Performing Assets:</t>
  </si>
  <si>
    <t>≥ 90 &amp; &lt; 120 days in arrears:</t>
  </si>
  <si>
    <t>≥ 120 &amp; &lt; 180 days in arrears:</t>
  </si>
  <si>
    <t>≥ 180 days in arrears:</t>
  </si>
  <si>
    <t>Other</t>
  </si>
  <si>
    <t>Total Participating Assets:</t>
  </si>
  <si>
    <t>Portfolio Covenants</t>
  </si>
  <si>
    <t>As at last DD</t>
  </si>
  <si>
    <t>As at current DD</t>
  </si>
  <si>
    <t>Weighted Average current LTV Ratio</t>
  </si>
  <si>
    <t>&lt; 65%</t>
  </si>
  <si>
    <t>Proportion with current LTV Ratio greater than 70%</t>
  </si>
  <si>
    <t>&lt; 25%</t>
  </si>
  <si>
    <t>Weighted average number of months from commencement</t>
  </si>
  <si>
    <t>&gt; 12 months</t>
  </si>
  <si>
    <t>Weighted Average Margin Covenant:</t>
  </si>
  <si>
    <t>&gt; 300 bps</t>
  </si>
  <si>
    <t>Concentration to top 3 Borrowers:</t>
  </si>
  <si>
    <t>Concentration to top 4 Borrowers:</t>
  </si>
  <si>
    <t>Concentration to top 5 Borrowers:</t>
  </si>
  <si>
    <t>Concentration to top 6 Borrowers:</t>
  </si>
  <si>
    <t>Concentration to top 7 Borrowers:</t>
  </si>
  <si>
    <t>Portfolio Stratifications</t>
  </si>
  <si>
    <t xml:space="preserve">Province </t>
  </si>
  <si>
    <t>Loan Balance</t>
  </si>
  <si>
    <t>Loan Balance %</t>
  </si>
  <si>
    <t>Count</t>
  </si>
  <si>
    <t>Count %</t>
  </si>
  <si>
    <t>Gauteng</t>
  </si>
  <si>
    <t>KwaZulu Natal</t>
  </si>
  <si>
    <t>Western Cape</t>
  </si>
  <si>
    <t>Free State</t>
  </si>
  <si>
    <t>Eastern Cape</t>
  </si>
  <si>
    <t xml:space="preserve">Total </t>
  </si>
  <si>
    <t>Current LTV Ratio</t>
  </si>
  <si>
    <t>0 - 25%</t>
  </si>
  <si>
    <t>25 - 50%</t>
  </si>
  <si>
    <t>50 - 60%</t>
  </si>
  <si>
    <t>60 - 70%</t>
  </si>
  <si>
    <t>70 - 81%</t>
  </si>
  <si>
    <t>Loan Commencement Date</t>
  </si>
  <si>
    <t>Current Participating Asset Margin Over Prime</t>
  </si>
  <si>
    <t>0 - 1%</t>
  </si>
  <si>
    <t>1 - 2%</t>
  </si>
  <si>
    <t>2 - 3%</t>
  </si>
  <si>
    <t>3 - 4%</t>
  </si>
  <si>
    <t>4 - 5%</t>
  </si>
  <si>
    <t>5 - 6%</t>
  </si>
  <si>
    <t>TUHF Services</t>
  </si>
  <si>
    <t>A-(za)(sf)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</si>
</sst>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_(* #,##0.00_);_(* \(#,##0.00\);_(* &quot;-&quot;??_);_(@_)"/>
    <numFmt numFmtId="167" formatCode="_(* #,##0_);_(* \(#,##0\);_(* &quot;-&quot;??_);_(@_)"/>
    <numFmt numFmtId="168" formatCode="_-* #,##0.0_-;\-* #,##0.0_-;_-* &quot;-&quot;??_-;_-@_-"/>
  </numFmts>
  <fonts count="18">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0"/>
      <color theme="1"/>
      <name val="Aptos Narrow"/>
      <family val="2"/>
      <scheme val="minor"/>
    </font>
    <font>
      <i/>
      <sz val="11"/>
      <color theme="1"/>
      <name val="Aptos Narrow"/>
      <family val="2"/>
      <scheme val="minor"/>
    </font>
    <font>
      <sz val="11"/>
      <name val="Aptos Narrow"/>
      <family val="2"/>
      <scheme val="minor"/>
    </font>
    <font>
      <i/>
      <sz val="11"/>
      <name val="Aptos Narrow"/>
      <family val="2"/>
      <scheme val="minor"/>
    </font>
    <font>
      <b/>
      <u/>
      <sz val="11"/>
      <color theme="1"/>
      <name val="Aptos Narrow"/>
      <family val="2"/>
      <scheme val="minor"/>
    </font>
    <font>
      <sz val="11"/>
      <color rgb="FF92D050"/>
      <name val="Aptos Narrow"/>
      <family val="2"/>
      <scheme val="minor"/>
    </font>
    <font>
      <sz val="11"/>
      <color rgb="FFFFFF00"/>
      <name val="Aptos Narrow"/>
      <family val="2"/>
      <scheme val="minor"/>
    </font>
    <font>
      <sz val="11"/>
      <color rgb="FFC00000"/>
      <name val="Aptos Narrow"/>
      <family val="2"/>
      <scheme val="minor"/>
    </font>
    <font>
      <u/>
      <sz val="11"/>
      <color theme="1"/>
      <name val="Calibri (Body)"/>
    </font>
    <font>
      <b/>
      <i/>
      <sz val="11"/>
      <color theme="1"/>
      <name val="Aptos Narrow"/>
      <family val="2"/>
      <scheme val="minor"/>
    </font>
    <font>
      <b/>
      <i/>
      <sz val="11"/>
      <name val="Aptos Narrow"/>
      <family val="2"/>
      <scheme val="minor"/>
    </font>
    <font>
      <i/>
      <sz val="11"/>
      <color rgb="FFFF0000"/>
      <name val="Aptos Narrow"/>
      <family val="2"/>
      <scheme val="minor"/>
    </font>
    <font>
      <sz val="11"/>
      <color theme="1"/>
      <name val="Calibri"/>
      <family val="2"/>
    </font>
    <font>
      <b/>
      <sz val="11"/>
      <color theme="1"/>
      <name val="Calibri"/>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89999084444715716"/>
        <bgColor indexed="64"/>
      </patternFill>
    </fill>
  </fills>
  <borders count="56">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09">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43" fontId="0" fillId="2" borderId="0" xfId="1" applyFont="1" applyFill="1"/>
    <xf numFmtId="0" fontId="0" fillId="3" borderId="5" xfId="0" applyFill="1" applyBorder="1"/>
    <xf numFmtId="43" fontId="0" fillId="2" borderId="0" xfId="0" applyNumberFormat="1" applyFill="1"/>
    <xf numFmtId="0" fontId="0" fillId="3" borderId="0" xfId="0" applyFill="1"/>
    <xf numFmtId="0" fontId="2" fillId="4" borderId="12" xfId="0" applyFont="1" applyFill="1" applyBorder="1"/>
    <xf numFmtId="0" fontId="2" fillId="4" borderId="13" xfId="0" applyFont="1" applyFill="1" applyBorder="1"/>
    <xf numFmtId="0" fontId="2" fillId="4" borderId="17" xfId="0" applyFont="1" applyFill="1" applyBorder="1"/>
    <xf numFmtId="0" fontId="2" fillId="4" borderId="18" xfId="0" applyFont="1" applyFill="1" applyBorder="1"/>
    <xf numFmtId="0" fontId="2" fillId="4" borderId="19" xfId="0" applyFont="1" applyFill="1" applyBorder="1"/>
    <xf numFmtId="0" fontId="2" fillId="4" borderId="19" xfId="0" applyFont="1" applyFill="1" applyBorder="1" applyAlignment="1">
      <alignment horizontal="left" vertical="center"/>
    </xf>
    <xf numFmtId="0" fontId="2" fillId="4" borderId="25" xfId="0" applyFont="1" applyFill="1" applyBorder="1"/>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27" xfId="0" applyFont="1" applyFill="1" applyBorder="1"/>
    <xf numFmtId="0" fontId="2" fillId="4" borderId="0" xfId="0" applyFont="1" applyFill="1" applyAlignment="1">
      <alignment horizontal="left" vertical="center"/>
    </xf>
    <xf numFmtId="0" fontId="2" fillId="4" borderId="28" xfId="0" applyFont="1" applyFill="1" applyBorder="1" applyAlignment="1">
      <alignment horizontal="left" vertical="center"/>
    </xf>
    <xf numFmtId="0" fontId="2" fillId="4" borderId="28" xfId="0" applyFont="1" applyFill="1" applyBorder="1"/>
    <xf numFmtId="0" fontId="2" fillId="4" borderId="30" xfId="0" applyFont="1" applyFill="1" applyBorder="1"/>
    <xf numFmtId="0" fontId="2" fillId="4" borderId="31" xfId="0" applyFont="1" applyFill="1" applyBorder="1"/>
    <xf numFmtId="0" fontId="2" fillId="4" borderId="30" xfId="0" applyFont="1" applyFill="1" applyBorder="1" applyAlignment="1">
      <alignment horizontal="left" vertical="center"/>
    </xf>
    <xf numFmtId="164" fontId="0" fillId="2" borderId="0" xfId="0" applyNumberFormat="1" applyFill="1"/>
    <xf numFmtId="0" fontId="2" fillId="4" borderId="6" xfId="0" applyFont="1" applyFill="1" applyBorder="1"/>
    <xf numFmtId="0" fontId="2" fillId="4" borderId="7" xfId="0" applyFont="1" applyFill="1" applyBorder="1"/>
    <xf numFmtId="0" fontId="2" fillId="4" borderId="32" xfId="0" applyFont="1" applyFill="1" applyBorder="1"/>
    <xf numFmtId="0" fontId="2" fillId="5" borderId="12" xfId="0" applyFont="1" applyFill="1" applyBorder="1"/>
    <xf numFmtId="0" fontId="2" fillId="5" borderId="13" xfId="0" applyFont="1" applyFill="1" applyBorder="1"/>
    <xf numFmtId="0" fontId="2" fillId="5" borderId="35" xfId="0" applyFont="1" applyFill="1" applyBorder="1"/>
    <xf numFmtId="0" fontId="0" fillId="4" borderId="28" xfId="0" applyFill="1" applyBorder="1"/>
    <xf numFmtId="0" fontId="2" fillId="4" borderId="21" xfId="0" applyFont="1" applyFill="1" applyBorder="1"/>
    <xf numFmtId="0" fontId="2" fillId="4" borderId="36" xfId="0" applyFont="1" applyFill="1" applyBorder="1"/>
    <xf numFmtId="0" fontId="2" fillId="4" borderId="5" xfId="0" applyFont="1" applyFill="1" applyBorder="1"/>
    <xf numFmtId="0" fontId="0" fillId="4" borderId="0" xfId="0" applyFill="1"/>
    <xf numFmtId="0" fontId="6" fillId="0" borderId="25" xfId="0" applyFont="1" applyBorder="1" applyAlignment="1">
      <alignment horizontal="center"/>
    </xf>
    <xf numFmtId="0" fontId="0" fillId="3" borderId="25" xfId="0" applyFill="1" applyBorder="1" applyAlignment="1">
      <alignment horizontal="center"/>
    </xf>
    <xf numFmtId="0" fontId="0" fillId="3" borderId="21" xfId="0" applyFill="1" applyBorder="1" applyAlignment="1">
      <alignment horizontal="center"/>
    </xf>
    <xf numFmtId="0" fontId="6" fillId="3" borderId="36" xfId="0" applyFont="1" applyFill="1" applyBorder="1" applyAlignment="1">
      <alignment horizontal="center"/>
    </xf>
    <xf numFmtId="0" fontId="0" fillId="0" borderId="25" xfId="0" applyBorder="1" applyAlignment="1">
      <alignment horizontal="center"/>
    </xf>
    <xf numFmtId="0" fontId="0" fillId="0" borderId="21" xfId="0" applyBorder="1" applyAlignment="1">
      <alignment horizontal="center"/>
    </xf>
    <xf numFmtId="0" fontId="0" fillId="0" borderId="36" xfId="0"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10" fontId="7" fillId="0" borderId="25" xfId="0" applyNumberFormat="1" applyFont="1" applyBorder="1"/>
    <xf numFmtId="10" fontId="7" fillId="0" borderId="25" xfId="2" applyNumberFormat="1" applyFont="1" applyFill="1" applyBorder="1" applyAlignment="1"/>
    <xf numFmtId="10" fontId="7" fillId="0" borderId="25" xfId="2" applyNumberFormat="1" applyFont="1" applyFill="1" applyBorder="1" applyAlignment="1">
      <alignment horizontal="right"/>
    </xf>
    <xf numFmtId="10" fontId="7" fillId="3" borderId="25" xfId="2" applyNumberFormat="1" applyFont="1" applyFill="1" applyBorder="1" applyAlignment="1"/>
    <xf numFmtId="10" fontId="7" fillId="3" borderId="21" xfId="2" applyNumberFormat="1" applyFont="1" applyFill="1" applyBorder="1" applyAlignment="1"/>
    <xf numFmtId="10" fontId="7" fillId="3" borderId="36" xfId="2" applyNumberFormat="1" applyFont="1" applyFill="1" applyBorder="1" applyAlignment="1"/>
    <xf numFmtId="165" fontId="7" fillId="0" borderId="25" xfId="0" applyNumberFormat="1" applyFont="1" applyBorder="1"/>
    <xf numFmtId="165" fontId="7" fillId="0" borderId="25" xfId="2" applyNumberFormat="1" applyFont="1" applyFill="1" applyBorder="1" applyAlignment="1"/>
    <xf numFmtId="165" fontId="7" fillId="0" borderId="25" xfId="2" applyNumberFormat="1" applyFont="1" applyFill="1" applyBorder="1" applyAlignment="1">
      <alignment horizontal="right"/>
    </xf>
    <xf numFmtId="165" fontId="7" fillId="3" borderId="25" xfId="2" applyNumberFormat="1" applyFont="1" applyFill="1" applyBorder="1" applyAlignment="1"/>
    <xf numFmtId="165" fontId="7" fillId="3" borderId="21" xfId="2" applyNumberFormat="1" applyFont="1" applyFill="1" applyBorder="1" applyAlignment="1"/>
    <xf numFmtId="165" fontId="7" fillId="3" borderId="36" xfId="2" applyNumberFormat="1" applyFont="1" applyFill="1" applyBorder="1" applyAlignment="1"/>
    <xf numFmtId="164" fontId="7" fillId="0" borderId="25" xfId="1" applyNumberFormat="1" applyFont="1" applyFill="1" applyBorder="1" applyAlignment="1"/>
    <xf numFmtId="164" fontId="7" fillId="3" borderId="25" xfId="1" applyNumberFormat="1" applyFont="1" applyFill="1" applyBorder="1" applyAlignment="1"/>
    <xf numFmtId="164" fontId="7" fillId="3" borderId="21" xfId="1" applyNumberFormat="1" applyFont="1" applyFill="1" applyBorder="1" applyAlignment="1"/>
    <xf numFmtId="164" fontId="7" fillId="3" borderId="36" xfId="1" applyNumberFormat="1" applyFont="1" applyFill="1" applyBorder="1" applyAlignment="1"/>
    <xf numFmtId="10" fontId="5" fillId="3" borderId="25" xfId="0" applyNumberFormat="1" applyFont="1" applyFill="1" applyBorder="1"/>
    <xf numFmtId="10" fontId="5" fillId="3" borderId="21" xfId="0" applyNumberFormat="1" applyFont="1" applyFill="1" applyBorder="1"/>
    <xf numFmtId="0" fontId="0" fillId="4" borderId="30" xfId="0" applyFill="1" applyBorder="1" applyAlignment="1">
      <alignment horizontal="left" indent="1"/>
    </xf>
    <xf numFmtId="164" fontId="7" fillId="0" borderId="21" xfId="1" applyNumberFormat="1" applyFont="1" applyFill="1" applyBorder="1" applyAlignment="1"/>
    <xf numFmtId="164" fontId="7" fillId="0" borderId="36" xfId="1" applyNumberFormat="1" applyFont="1" applyFill="1" applyBorder="1" applyAlignment="1"/>
    <xf numFmtId="15" fontId="0" fillId="2" borderId="0" xfId="0" applyNumberFormat="1" applyFill="1"/>
    <xf numFmtId="164" fontId="5" fillId="3" borderId="25" xfId="1" applyNumberFormat="1" applyFont="1" applyFill="1" applyBorder="1" applyAlignment="1"/>
    <xf numFmtId="164" fontId="0" fillId="3" borderId="1" xfId="0" applyNumberFormat="1" applyFill="1" applyBorder="1"/>
    <xf numFmtId="10" fontId="7" fillId="0" borderId="21" xfId="2" applyNumberFormat="1" applyFont="1" applyFill="1" applyBorder="1" applyAlignment="1"/>
    <xf numFmtId="0" fontId="0" fillId="4" borderId="5" xfId="0" applyFill="1" applyBorder="1" applyAlignment="1">
      <alignment horizontal="left" indent="1"/>
    </xf>
    <xf numFmtId="10" fontId="7" fillId="0" borderId="25" xfId="2" applyNumberFormat="1" applyFont="1" applyFill="1" applyBorder="1" applyAlignment="1">
      <alignment horizontal="center"/>
    </xf>
    <xf numFmtId="15" fontId="7" fillId="0" borderId="25" xfId="0" applyNumberFormat="1" applyFont="1" applyBorder="1"/>
    <xf numFmtId="15" fontId="7" fillId="3" borderId="25" xfId="0" applyNumberFormat="1" applyFont="1" applyFill="1" applyBorder="1"/>
    <xf numFmtId="15" fontId="7" fillId="3" borderId="21" xfId="0" applyNumberFormat="1" applyFont="1" applyFill="1" applyBorder="1"/>
    <xf numFmtId="15" fontId="7" fillId="3" borderId="36" xfId="0" applyNumberFormat="1" applyFont="1" applyFill="1" applyBorder="1"/>
    <xf numFmtId="0" fontId="7" fillId="0" borderId="25" xfId="0" applyFont="1" applyBorder="1" applyAlignment="1">
      <alignment horizontal="center"/>
    </xf>
    <xf numFmtId="0" fontId="7" fillId="3" borderId="25" xfId="0" applyFont="1" applyFill="1" applyBorder="1" applyAlignment="1">
      <alignment horizontal="center"/>
    </xf>
    <xf numFmtId="0" fontId="7" fillId="3" borderId="21" xfId="0" applyFont="1" applyFill="1" applyBorder="1" applyAlignment="1">
      <alignment horizontal="center"/>
    </xf>
    <xf numFmtId="0" fontId="7" fillId="3" borderId="36" xfId="0" applyFont="1" applyFill="1" applyBorder="1" applyAlignment="1">
      <alignment horizontal="center"/>
    </xf>
    <xf numFmtId="0" fontId="2" fillId="4" borderId="33" xfId="0" applyFont="1" applyFill="1" applyBorder="1"/>
    <xf numFmtId="0" fontId="0" fillId="4" borderId="32" xfId="0" applyFill="1" applyBorder="1"/>
    <xf numFmtId="0" fontId="7" fillId="0" borderId="27" xfId="0" applyFont="1" applyBorder="1" applyAlignment="1">
      <alignment horizontal="center" wrapText="1"/>
    </xf>
    <xf numFmtId="0" fontId="7" fillId="0" borderId="37" xfId="0" applyFont="1" applyBorder="1" applyAlignment="1">
      <alignment horizontal="center"/>
    </xf>
    <xf numFmtId="0" fontId="7" fillId="3" borderId="37" xfId="0" applyFont="1" applyFill="1" applyBorder="1" applyAlignment="1">
      <alignment horizontal="center"/>
    </xf>
    <xf numFmtId="0" fontId="7" fillId="3" borderId="38" xfId="0" applyFont="1" applyFill="1" applyBorder="1" applyAlignment="1">
      <alignment horizontal="center"/>
    </xf>
    <xf numFmtId="0" fontId="7" fillId="3" borderId="34" xfId="0" applyFont="1" applyFill="1" applyBorder="1" applyAlignment="1">
      <alignment horizontal="center"/>
    </xf>
    <xf numFmtId="0" fontId="0" fillId="3" borderId="32" xfId="0" applyFill="1" applyBorder="1"/>
    <xf numFmtId="4" fontId="0" fillId="2" borderId="0" xfId="0" applyNumberFormat="1" applyFill="1"/>
    <xf numFmtId="166" fontId="0" fillId="2" borderId="0" xfId="0" applyNumberFormat="1" applyFill="1"/>
    <xf numFmtId="3" fontId="0" fillId="2" borderId="0" xfId="0" applyNumberFormat="1" applyFill="1"/>
    <xf numFmtId="0" fontId="2" fillId="4" borderId="23" xfId="0" applyFont="1" applyFill="1" applyBorder="1"/>
    <xf numFmtId="0" fontId="0" fillId="4" borderId="19" xfId="0" applyFill="1" applyBorder="1"/>
    <xf numFmtId="164" fontId="5" fillId="3" borderId="0" xfId="1" applyNumberFormat="1" applyFont="1" applyFill="1" applyBorder="1" applyAlignment="1">
      <alignment horizontal="center"/>
    </xf>
    <xf numFmtId="43" fontId="9" fillId="2" borderId="0" xfId="1" applyFont="1" applyFill="1"/>
    <xf numFmtId="164" fontId="5" fillId="3" borderId="40" xfId="1" applyNumberFormat="1" applyFont="1" applyFill="1" applyBorder="1" applyAlignment="1"/>
    <xf numFmtId="164" fontId="5" fillId="3" borderId="0" xfId="1" applyNumberFormat="1" applyFont="1" applyFill="1" applyBorder="1" applyAlignment="1">
      <alignment horizontal="right"/>
    </xf>
    <xf numFmtId="4" fontId="9" fillId="2" borderId="0" xfId="0" applyNumberFormat="1" applyFont="1" applyFill="1"/>
    <xf numFmtId="164" fontId="5" fillId="0" borderId="0" xfId="1" applyNumberFormat="1" applyFont="1" applyFill="1" applyBorder="1" applyAlignment="1">
      <alignment horizontal="right"/>
    </xf>
    <xf numFmtId="164" fontId="0" fillId="2" borderId="0" xfId="1" applyNumberFormat="1" applyFont="1" applyFill="1"/>
    <xf numFmtId="43" fontId="10" fillId="2" borderId="0" xfId="1" applyFont="1" applyFill="1"/>
    <xf numFmtId="166" fontId="10" fillId="2" borderId="0" xfId="0" applyNumberFormat="1" applyFont="1" applyFill="1"/>
    <xf numFmtId="164" fontId="1" fillId="3" borderId="1" xfId="1" applyNumberFormat="1" applyFont="1" applyFill="1" applyBorder="1" applyAlignment="1"/>
    <xf numFmtId="0" fontId="0" fillId="4" borderId="41" xfId="0" applyFill="1" applyBorder="1"/>
    <xf numFmtId="164" fontId="5" fillId="3" borderId="18" xfId="1" applyNumberFormat="1" applyFont="1" applyFill="1" applyBorder="1" applyAlignment="1"/>
    <xf numFmtId="0" fontId="0" fillId="4" borderId="24" xfId="0" applyFill="1" applyBorder="1"/>
    <xf numFmtId="0" fontId="0" fillId="4" borderId="17" xfId="0" applyFill="1" applyBorder="1" applyAlignment="1">
      <alignment horizontal="left" indent="1"/>
    </xf>
    <xf numFmtId="0" fontId="0" fillId="4" borderId="18" xfId="0" applyFill="1" applyBorder="1"/>
    <xf numFmtId="164" fontId="5" fillId="3" borderId="31" xfId="1" applyNumberFormat="1" applyFont="1" applyFill="1" applyBorder="1" applyAlignment="1"/>
    <xf numFmtId="164" fontId="0" fillId="3" borderId="1" xfId="1" applyNumberFormat="1" applyFont="1" applyFill="1" applyBorder="1" applyAlignment="1"/>
    <xf numFmtId="0" fontId="0" fillId="4" borderId="5" xfId="0" applyFill="1" applyBorder="1" applyAlignment="1">
      <alignment horizontal="left" indent="2"/>
    </xf>
    <xf numFmtId="164" fontId="0" fillId="3" borderId="0" xfId="1" applyNumberFormat="1" applyFont="1" applyFill="1" applyBorder="1" applyAlignment="1">
      <alignment horizontal="right"/>
    </xf>
    <xf numFmtId="164" fontId="5" fillId="3" borderId="18" xfId="1" applyNumberFormat="1" applyFont="1" applyFill="1" applyBorder="1"/>
    <xf numFmtId="164" fontId="0" fillId="3" borderId="39" xfId="1" applyNumberFormat="1" applyFont="1" applyFill="1" applyBorder="1" applyAlignment="1"/>
    <xf numFmtId="0" fontId="2" fillId="4" borderId="23" xfId="0" applyFont="1" applyFill="1" applyBorder="1" applyAlignment="1">
      <alignment horizontal="left"/>
    </xf>
    <xf numFmtId="0" fontId="2" fillId="4" borderId="5" xfId="0" applyFont="1" applyFill="1" applyBorder="1" applyAlignment="1">
      <alignment horizontal="left"/>
    </xf>
    <xf numFmtId="164" fontId="1" fillId="3" borderId="1" xfId="1" applyNumberFormat="1" applyFont="1" applyFill="1" applyBorder="1" applyAlignment="1">
      <alignment horizontal="right"/>
    </xf>
    <xf numFmtId="164" fontId="7" fillId="3" borderId="0" xfId="1" applyNumberFormat="1" applyFont="1" applyFill="1" applyBorder="1" applyAlignment="1">
      <alignment horizontal="center"/>
    </xf>
    <xf numFmtId="164" fontId="1" fillId="3" borderId="0" xfId="1" applyNumberFormat="1" applyFont="1" applyFill="1" applyBorder="1" applyAlignment="1">
      <alignment horizontal="right"/>
    </xf>
    <xf numFmtId="164" fontId="1" fillId="3" borderId="0" xfId="1" applyNumberFormat="1" applyFont="1" applyFill="1" applyBorder="1" applyAlignment="1"/>
    <xf numFmtId="164" fontId="11" fillId="2" borderId="0" xfId="0" applyNumberFormat="1" applyFont="1" applyFill="1"/>
    <xf numFmtId="0" fontId="0" fillId="4" borderId="6" xfId="0" applyFill="1" applyBorder="1" applyAlignment="1">
      <alignment horizontal="left" indent="1"/>
    </xf>
    <xf numFmtId="0" fontId="0" fillId="4" borderId="7" xfId="0" applyFill="1" applyBorder="1"/>
    <xf numFmtId="164" fontId="5" fillId="3" borderId="7" xfId="1" applyNumberFormat="1" applyFont="1" applyFill="1" applyBorder="1" applyAlignment="1">
      <alignment horizontal="center"/>
    </xf>
    <xf numFmtId="0" fontId="0" fillId="3" borderId="8" xfId="0" applyFill="1" applyBorder="1"/>
    <xf numFmtId="0" fontId="0" fillId="3" borderId="0" xfId="0" applyFill="1" applyAlignment="1">
      <alignment horizontal="left" indent="1"/>
    </xf>
    <xf numFmtId="0" fontId="8" fillId="4" borderId="0" xfId="0" applyFont="1" applyFill="1" applyAlignment="1">
      <alignment horizontal="center"/>
    </xf>
    <xf numFmtId="0" fontId="8" fillId="4" borderId="41" xfId="0" applyFont="1" applyFill="1" applyBorder="1" applyAlignment="1">
      <alignment horizontal="center"/>
    </xf>
    <xf numFmtId="43" fontId="6" fillId="2" borderId="0" xfId="1" applyFont="1" applyFill="1"/>
    <xf numFmtId="0" fontId="6" fillId="2" borderId="0" xfId="0" applyFont="1" applyFill="1"/>
    <xf numFmtId="164" fontId="5" fillId="0" borderId="0" xfId="1" applyNumberFormat="1" applyFont="1" applyFill="1" applyBorder="1" applyAlignment="1">
      <alignment horizontal="center"/>
    </xf>
    <xf numFmtId="43" fontId="2" fillId="2" borderId="0" xfId="1" applyFont="1" applyFill="1"/>
    <xf numFmtId="0" fontId="0" fillId="4" borderId="43" xfId="0" applyFill="1" applyBorder="1"/>
    <xf numFmtId="164" fontId="5" fillId="0" borderId="7" xfId="1" applyNumberFormat="1" applyFont="1" applyFill="1" applyBorder="1" applyAlignment="1">
      <alignment horizontal="center"/>
    </xf>
    <xf numFmtId="164" fontId="0" fillId="3" borderId="8" xfId="1" applyNumberFormat="1" applyFont="1" applyFill="1" applyBorder="1" applyAlignment="1"/>
    <xf numFmtId="43" fontId="0" fillId="3" borderId="0" xfId="1" applyFont="1" applyFill="1" applyBorder="1" applyAlignment="1">
      <alignment horizontal="right"/>
    </xf>
    <xf numFmtId="43" fontId="0" fillId="3" borderId="0" xfId="1" applyFont="1" applyFill="1" applyBorder="1" applyAlignment="1"/>
    <xf numFmtId="0" fontId="2" fillId="4" borderId="17" xfId="0" applyFont="1" applyFill="1" applyBorder="1" applyAlignment="1">
      <alignment horizontal="left"/>
    </xf>
    <xf numFmtId="0" fontId="2" fillId="4" borderId="26" xfId="0" applyFont="1" applyFill="1" applyBorder="1"/>
    <xf numFmtId="164" fontId="5" fillId="3" borderId="18" xfId="1" applyNumberFormat="1" applyFont="1" applyFill="1" applyBorder="1" applyAlignment="1">
      <alignment horizontal="center"/>
    </xf>
    <xf numFmtId="0" fontId="2" fillId="4" borderId="30" xfId="0" applyFont="1" applyFill="1" applyBorder="1" applyAlignment="1">
      <alignment horizontal="left"/>
    </xf>
    <xf numFmtId="0" fontId="2" fillId="4" borderId="44" xfId="0" applyFont="1" applyFill="1" applyBorder="1"/>
    <xf numFmtId="0" fontId="2" fillId="4" borderId="6" xfId="0" applyFont="1" applyFill="1" applyBorder="1" applyAlignment="1">
      <alignment horizontal="left"/>
    </xf>
    <xf numFmtId="0" fontId="2" fillId="4" borderId="43" xfId="0" applyFont="1" applyFill="1" applyBorder="1"/>
    <xf numFmtId="0" fontId="8" fillId="6" borderId="5" xfId="0" applyFont="1" applyFill="1" applyBorder="1" applyAlignment="1">
      <alignment horizontal="center"/>
    </xf>
    <xf numFmtId="0" fontId="8" fillId="6" borderId="0" xfId="0" applyFont="1" applyFill="1" applyAlignment="1">
      <alignment horizontal="center"/>
    </xf>
    <xf numFmtId="43" fontId="5" fillId="3" borderId="0" xfId="0" applyNumberFormat="1" applyFont="1" applyFill="1" applyAlignment="1">
      <alignment horizontal="right"/>
    </xf>
    <xf numFmtId="0" fontId="5" fillId="3" borderId="1" xfId="0" applyFont="1" applyFill="1" applyBorder="1"/>
    <xf numFmtId="0" fontId="0" fillId="4" borderId="23" xfId="0" applyFill="1" applyBorder="1" applyAlignment="1">
      <alignment horizontal="left" indent="1"/>
    </xf>
    <xf numFmtId="0" fontId="2" fillId="4" borderId="19" xfId="0" applyFont="1" applyFill="1" applyBorder="1" applyAlignment="1">
      <alignment horizontal="right"/>
    </xf>
    <xf numFmtId="0" fontId="2" fillId="4" borderId="0" xfId="0" applyFont="1" applyFill="1" applyAlignment="1">
      <alignment horizontal="right"/>
    </xf>
    <xf numFmtId="0" fontId="5" fillId="3" borderId="0" xfId="0" applyFont="1" applyFill="1" applyAlignment="1">
      <alignment horizontal="right"/>
    </xf>
    <xf numFmtId="0" fontId="2" fillId="3" borderId="1" xfId="0" applyFont="1" applyFill="1" applyBorder="1" applyAlignment="1">
      <alignment horizontal="right"/>
    </xf>
    <xf numFmtId="0" fontId="2" fillId="4" borderId="18" xfId="0" applyFont="1" applyFill="1" applyBorder="1" applyAlignment="1">
      <alignment horizontal="right"/>
    </xf>
    <xf numFmtId="43" fontId="5" fillId="3" borderId="19" xfId="0" applyNumberFormat="1" applyFont="1" applyFill="1" applyBorder="1" applyAlignment="1">
      <alignment horizontal="right"/>
    </xf>
    <xf numFmtId="0" fontId="2" fillId="3" borderId="29" xfId="0" applyFont="1" applyFill="1" applyBorder="1" applyAlignment="1">
      <alignment horizontal="right"/>
    </xf>
    <xf numFmtId="0" fontId="2" fillId="4" borderId="7" xfId="0" applyFont="1" applyFill="1" applyBorder="1" applyAlignment="1">
      <alignment horizontal="right"/>
    </xf>
    <xf numFmtId="0" fontId="2" fillId="4" borderId="12" xfId="0" applyFont="1" applyFill="1" applyBorder="1" applyAlignment="1">
      <alignment horizontal="left" vertical="center"/>
    </xf>
    <xf numFmtId="164" fontId="5" fillId="3" borderId="0" xfId="1" applyNumberFormat="1" applyFont="1" applyFill="1" applyBorder="1" applyAlignment="1"/>
    <xf numFmtId="164" fontId="5" fillId="3" borderId="18" xfId="1" applyNumberFormat="1" applyFont="1" applyFill="1" applyBorder="1" applyAlignment="1">
      <alignment horizontal="right"/>
    </xf>
    <xf numFmtId="164" fontId="7" fillId="0" borderId="0" xfId="1" applyNumberFormat="1" applyFont="1" applyFill="1" applyBorder="1" applyAlignment="1">
      <alignment horizontal="right"/>
    </xf>
    <xf numFmtId="164" fontId="5" fillId="3" borderId="41" xfId="1" applyNumberFormat="1" applyFont="1" applyFill="1" applyBorder="1" applyAlignment="1">
      <alignment horizontal="center"/>
    </xf>
    <xf numFmtId="164" fontId="5" fillId="3" borderId="26" xfId="1" applyNumberFormat="1" applyFont="1" applyFill="1" applyBorder="1" applyAlignment="1">
      <alignment horizontal="right"/>
    </xf>
    <xf numFmtId="0" fontId="0" fillId="3" borderId="39" xfId="0" applyFill="1" applyBorder="1"/>
    <xf numFmtId="164" fontId="5" fillId="0" borderId="41" xfId="1" applyNumberFormat="1" applyFont="1" applyFill="1" applyBorder="1" applyAlignment="1">
      <alignment horizontal="right"/>
    </xf>
    <xf numFmtId="164" fontId="5" fillId="0" borderId="26" xfId="1" applyNumberFormat="1" applyFont="1" applyFill="1" applyBorder="1" applyAlignment="1">
      <alignment horizontal="right"/>
    </xf>
    <xf numFmtId="164" fontId="5" fillId="0" borderId="41" xfId="1" applyNumberFormat="1" applyFont="1" applyFill="1" applyBorder="1" applyAlignment="1"/>
    <xf numFmtId="164" fontId="5" fillId="0" borderId="18" xfId="1" applyNumberFormat="1" applyFont="1" applyFill="1" applyBorder="1" applyAlignment="1">
      <alignment horizontal="center"/>
    </xf>
    <xf numFmtId="164" fontId="5" fillId="0" borderId="26" xfId="1" applyNumberFormat="1" applyFont="1" applyFill="1" applyBorder="1" applyAlignment="1"/>
    <xf numFmtId="164" fontId="5" fillId="0" borderId="0" xfId="1" applyNumberFormat="1" applyFont="1" applyFill="1" applyBorder="1" applyAlignment="1"/>
    <xf numFmtId="0" fontId="2" fillId="4" borderId="33" xfId="0" applyFont="1" applyFill="1" applyBorder="1" applyAlignment="1">
      <alignment horizontal="left"/>
    </xf>
    <xf numFmtId="0" fontId="8" fillId="4" borderId="28" xfId="0" applyFont="1" applyFill="1" applyBorder="1" applyAlignment="1">
      <alignment horizontal="center"/>
    </xf>
    <xf numFmtId="0" fontId="8" fillId="4" borderId="44" xfId="0" applyFont="1" applyFill="1" applyBorder="1" applyAlignment="1">
      <alignment horizontal="center"/>
    </xf>
    <xf numFmtId="0" fontId="8" fillId="4" borderId="18" xfId="0" applyFont="1" applyFill="1" applyBorder="1" applyAlignment="1">
      <alignment horizontal="center"/>
    </xf>
    <xf numFmtId="0" fontId="8" fillId="4" borderId="26" xfId="0" applyFont="1" applyFill="1" applyBorder="1" applyAlignment="1">
      <alignment horizontal="center"/>
    </xf>
    <xf numFmtId="0" fontId="8" fillId="4" borderId="32" xfId="0" applyFont="1" applyFill="1" applyBorder="1" applyAlignment="1">
      <alignment horizontal="center"/>
    </xf>
    <xf numFmtId="0" fontId="8" fillId="4" borderId="47" xfId="0" applyFont="1" applyFill="1" applyBorder="1" applyAlignment="1">
      <alignment horizontal="center"/>
    </xf>
    <xf numFmtId="0" fontId="2" fillId="3" borderId="0" xfId="0" applyFont="1" applyFill="1" applyAlignment="1">
      <alignment horizontal="left"/>
    </xf>
    <xf numFmtId="0" fontId="8" fillId="3" borderId="0" xfId="0" applyFont="1" applyFill="1" applyAlignment="1">
      <alignment horizontal="center"/>
    </xf>
    <xf numFmtId="0" fontId="15" fillId="3" borderId="0" xfId="0" applyFont="1" applyFill="1" applyAlignment="1">
      <alignment horizontal="right"/>
    </xf>
    <xf numFmtId="0" fontId="8" fillId="4" borderId="13" xfId="0" applyFont="1" applyFill="1" applyBorder="1" applyAlignment="1">
      <alignment horizontal="center"/>
    </xf>
    <xf numFmtId="0" fontId="2" fillId="4" borderId="44" xfId="0" applyFont="1" applyFill="1" applyBorder="1" applyAlignment="1">
      <alignment horizontal="center"/>
    </xf>
    <xf numFmtId="167" fontId="7" fillId="3" borderId="0" xfId="0" applyNumberFormat="1" applyFont="1" applyFill="1"/>
    <xf numFmtId="167" fontId="7" fillId="3" borderId="1" xfId="0" applyNumberFormat="1" applyFont="1" applyFill="1" applyBorder="1"/>
    <xf numFmtId="0" fontId="5" fillId="3" borderId="26" xfId="0" applyFont="1" applyFill="1" applyBorder="1" applyAlignment="1">
      <alignment horizontal="center"/>
    </xf>
    <xf numFmtId="167" fontId="7" fillId="3" borderId="39" xfId="0" applyNumberFormat="1" applyFont="1" applyFill="1" applyBorder="1"/>
    <xf numFmtId="0" fontId="2" fillId="4" borderId="28" xfId="0" applyFont="1" applyFill="1" applyBorder="1" applyAlignment="1">
      <alignment horizontal="center"/>
    </xf>
    <xf numFmtId="0" fontId="6" fillId="4" borderId="19" xfId="0" applyFont="1" applyFill="1" applyBorder="1"/>
    <xf numFmtId="0" fontId="6" fillId="4" borderId="0" xfId="0" applyFont="1" applyFill="1"/>
    <xf numFmtId="0" fontId="6" fillId="4" borderId="24" xfId="0" applyFont="1" applyFill="1" applyBorder="1"/>
    <xf numFmtId="0" fontId="8" fillId="4" borderId="19" xfId="0" applyFont="1" applyFill="1" applyBorder="1" applyAlignment="1">
      <alignment horizontal="center"/>
    </xf>
    <xf numFmtId="0" fontId="8" fillId="4" borderId="24" xfId="0" applyFont="1" applyFill="1" applyBorder="1" applyAlignment="1">
      <alignment horizontal="center"/>
    </xf>
    <xf numFmtId="10" fontId="0" fillId="2" borderId="0" xfId="0" applyNumberFormat="1" applyFill="1"/>
    <xf numFmtId="0" fontId="8" fillId="4" borderId="7" xfId="0" applyFont="1" applyFill="1" applyBorder="1" applyAlignment="1">
      <alignment horizontal="center"/>
    </xf>
    <xf numFmtId="0" fontId="8" fillId="4" borderId="43" xfId="0" applyFont="1" applyFill="1" applyBorder="1" applyAlignment="1">
      <alignment horizontal="center"/>
    </xf>
    <xf numFmtId="0" fontId="0" fillId="3" borderId="6" xfId="0" applyFill="1" applyBorder="1"/>
    <xf numFmtId="0" fontId="0" fillId="3" borderId="9" xfId="0" applyFill="1" applyBorder="1"/>
    <xf numFmtId="0" fontId="0" fillId="3" borderId="10" xfId="0" applyFill="1" applyBorder="1"/>
    <xf numFmtId="0" fontId="0" fillId="3" borderId="11" xfId="0" applyFill="1" applyBorder="1"/>
    <xf numFmtId="0" fontId="2" fillId="2" borderId="0" xfId="0" applyFont="1" applyFill="1"/>
    <xf numFmtId="167" fontId="0" fillId="2" borderId="0" xfId="0" applyNumberFormat="1" applyFill="1"/>
    <xf numFmtId="0" fontId="2" fillId="4" borderId="46" xfId="0" applyFont="1" applyFill="1" applyBorder="1"/>
    <xf numFmtId="0" fontId="2" fillId="4" borderId="5" xfId="0" applyFont="1" applyFill="1" applyBorder="1" applyAlignment="1">
      <alignment horizontal="left" vertical="center"/>
    </xf>
    <xf numFmtId="0" fontId="0" fillId="4" borderId="19" xfId="0" applyFill="1" applyBorder="1" applyAlignment="1">
      <alignment horizontal="center"/>
    </xf>
    <xf numFmtId="0" fontId="0" fillId="4" borderId="24" xfId="0" applyFill="1" applyBorder="1" applyAlignment="1">
      <alignment horizontal="center"/>
    </xf>
    <xf numFmtId="0" fontId="0" fillId="4" borderId="0" xfId="0" applyFill="1" applyAlignment="1">
      <alignment horizontal="center"/>
    </xf>
    <xf numFmtId="0" fontId="0" fillId="4" borderId="5" xfId="0" applyFill="1" applyBorder="1" applyAlignment="1">
      <alignment horizontal="left"/>
    </xf>
    <xf numFmtId="164" fontId="6" fillId="3" borderId="1" xfId="1" applyNumberFormat="1" applyFont="1" applyFill="1" applyBorder="1" applyAlignment="1">
      <alignment horizontal="center"/>
    </xf>
    <xf numFmtId="0" fontId="0" fillId="3" borderId="54" xfId="0" applyFill="1" applyBorder="1"/>
    <xf numFmtId="164" fontId="6" fillId="3" borderId="39" xfId="1" applyNumberFormat="1" applyFont="1" applyFill="1" applyBorder="1" applyAlignment="1">
      <alignment horizontal="center"/>
    </xf>
    <xf numFmtId="0" fontId="0" fillId="4" borderId="41" xfId="0" applyFill="1" applyBorder="1" applyAlignment="1">
      <alignment horizontal="center"/>
    </xf>
    <xf numFmtId="164" fontId="0" fillId="3" borderId="1" xfId="1" applyNumberFormat="1" applyFont="1" applyFill="1" applyBorder="1" applyAlignment="1">
      <alignment horizontal="center"/>
    </xf>
    <xf numFmtId="0" fontId="0" fillId="4" borderId="18" xfId="0" applyFill="1" applyBorder="1" applyAlignment="1">
      <alignment horizontal="center"/>
    </xf>
    <xf numFmtId="0" fontId="0" fillId="4" borderId="26" xfId="0" applyFill="1" applyBorder="1" applyAlignment="1">
      <alignment horizontal="center"/>
    </xf>
    <xf numFmtId="164" fontId="6" fillId="0" borderId="1" xfId="1" applyNumberFormat="1" applyFont="1" applyFill="1" applyBorder="1" applyAlignment="1">
      <alignment horizontal="center"/>
    </xf>
    <xf numFmtId="9" fontId="0" fillId="2" borderId="0" xfId="2" applyFont="1" applyFill="1"/>
    <xf numFmtId="0" fontId="0" fillId="4" borderId="28" xfId="0" applyFill="1" applyBorder="1" applyAlignment="1">
      <alignment horizontal="center"/>
    </xf>
    <xf numFmtId="0" fontId="0" fillId="4" borderId="44" xfId="0" applyFill="1" applyBorder="1" applyAlignment="1">
      <alignment horizontal="center"/>
    </xf>
    <xf numFmtId="164" fontId="7" fillId="3" borderId="1" xfId="1" applyNumberFormat="1" applyFont="1" applyFill="1" applyBorder="1" applyAlignment="1">
      <alignment horizontal="right"/>
    </xf>
    <xf numFmtId="0" fontId="0" fillId="4" borderId="17" xfId="0" applyFill="1" applyBorder="1" applyAlignment="1">
      <alignment horizontal="left"/>
    </xf>
    <xf numFmtId="164" fontId="7" fillId="3" borderId="39" xfId="1" applyNumberFormat="1" applyFont="1" applyFill="1" applyBorder="1" applyAlignment="1">
      <alignment horizontal="right"/>
    </xf>
    <xf numFmtId="0" fontId="2" fillId="4" borderId="32" xfId="0" applyFont="1" applyFill="1" applyBorder="1" applyAlignment="1">
      <alignment horizontal="center"/>
    </xf>
    <xf numFmtId="0" fontId="2" fillId="4" borderId="47" xfId="0" applyFont="1" applyFill="1" applyBorder="1" applyAlignment="1">
      <alignment horizontal="center"/>
    </xf>
    <xf numFmtId="0" fontId="0" fillId="3" borderId="0" xfId="0" applyFill="1" applyAlignment="1">
      <alignment horizontal="center"/>
    </xf>
    <xf numFmtId="0" fontId="8" fillId="4" borderId="30" xfId="0" applyFont="1" applyFill="1" applyBorder="1" applyAlignment="1">
      <alignment horizontal="left"/>
    </xf>
    <xf numFmtId="0" fontId="2" fillId="4" borderId="19" xfId="0" applyFont="1" applyFill="1" applyBorder="1" applyAlignment="1">
      <alignment horizontal="center"/>
    </xf>
    <xf numFmtId="0" fontId="2" fillId="4" borderId="0" xfId="0" applyFont="1" applyFill="1" applyAlignment="1">
      <alignment horizontal="center"/>
    </xf>
    <xf numFmtId="164" fontId="6" fillId="3" borderId="41" xfId="1" applyNumberFormat="1" applyFont="1" applyFill="1" applyBorder="1" applyAlignment="1">
      <alignment horizontal="center"/>
    </xf>
    <xf numFmtId="0" fontId="16" fillId="4" borderId="5" xfId="0" applyFont="1" applyFill="1" applyBorder="1" applyAlignment="1">
      <alignment horizontal="left" indent="1"/>
    </xf>
    <xf numFmtId="0" fontId="16" fillId="4" borderId="17" xfId="0" applyFont="1" applyFill="1" applyBorder="1" applyAlignment="1">
      <alignment horizontal="left" indent="1"/>
    </xf>
    <xf numFmtId="0" fontId="2" fillId="4" borderId="18" xfId="0" applyFont="1" applyFill="1" applyBorder="1" applyAlignment="1">
      <alignment horizontal="center"/>
    </xf>
    <xf numFmtId="164" fontId="6" fillId="3" borderId="26" xfId="1" applyNumberFormat="1" applyFont="1" applyFill="1" applyBorder="1" applyAlignment="1">
      <alignment horizontal="center"/>
    </xf>
    <xf numFmtId="0" fontId="17" fillId="4" borderId="23" xfId="0" applyFont="1" applyFill="1" applyBorder="1" applyAlignment="1">
      <alignment horizontal="left"/>
    </xf>
    <xf numFmtId="0" fontId="2" fillId="4" borderId="7" xfId="0" applyFont="1" applyFill="1" applyBorder="1" applyAlignment="1">
      <alignment horizontal="center"/>
    </xf>
    <xf numFmtId="0" fontId="0" fillId="4" borderId="30" xfId="0" applyFill="1" applyBorder="1" applyAlignment="1">
      <alignment horizontal="center"/>
    </xf>
    <xf numFmtId="0" fontId="2" fillId="4" borderId="25" xfId="0" applyFont="1" applyFill="1" applyBorder="1" applyAlignment="1">
      <alignment horizontal="left"/>
    </xf>
    <xf numFmtId="0" fontId="0" fillId="4" borderId="40" xfId="0" applyFill="1" applyBorder="1" applyAlignment="1">
      <alignment horizontal="left"/>
    </xf>
    <xf numFmtId="168" fontId="0" fillId="2" borderId="0" xfId="1" applyNumberFormat="1" applyFont="1" applyFill="1"/>
    <xf numFmtId="0" fontId="0" fillId="3" borderId="7" xfId="0" applyFill="1" applyBorder="1"/>
    <xf numFmtId="3" fontId="7" fillId="3" borderId="38" xfId="1" applyNumberFormat="1" applyFont="1" applyFill="1" applyBorder="1" applyAlignment="1">
      <alignment horizontal="right"/>
    </xf>
    <xf numFmtId="3" fontId="7" fillId="3" borderId="51" xfId="1" applyNumberFormat="1" applyFont="1" applyFill="1" applyBorder="1" applyAlignment="1">
      <alignment horizontal="right"/>
    </xf>
    <xf numFmtId="3" fontId="7" fillId="3" borderId="21" xfId="1" applyNumberFormat="1" applyFont="1" applyFill="1" applyBorder="1" applyAlignment="1">
      <alignment horizontal="right"/>
    </xf>
    <xf numFmtId="3" fontId="7" fillId="3" borderId="22" xfId="1" applyNumberFormat="1" applyFont="1" applyFill="1" applyBorder="1" applyAlignment="1">
      <alignment horizontal="right"/>
    </xf>
    <xf numFmtId="16" fontId="5" fillId="3" borderId="31" xfId="0" applyNumberFormat="1" applyFont="1" applyFill="1" applyBorder="1" applyAlignment="1">
      <alignment horizontal="center"/>
    </xf>
    <xf numFmtId="16" fontId="5" fillId="3" borderId="18" xfId="0" applyNumberFormat="1" applyFont="1" applyFill="1" applyBorder="1" applyAlignment="1">
      <alignment horizontal="center"/>
    </xf>
    <xf numFmtId="0" fontId="7" fillId="3" borderId="18" xfId="0" applyFont="1" applyFill="1" applyBorder="1" applyAlignment="1">
      <alignment horizontal="center"/>
    </xf>
    <xf numFmtId="0" fontId="7" fillId="3" borderId="26" xfId="0" applyFont="1" applyFill="1" applyBorder="1" applyAlignment="1">
      <alignment horizontal="center"/>
    </xf>
    <xf numFmtId="167" fontId="7" fillId="3" borderId="40"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31" xfId="0" applyNumberFormat="1" applyFont="1" applyFill="1" applyBorder="1" applyAlignment="1">
      <alignment horizontal="center"/>
    </xf>
    <xf numFmtId="167" fontId="7" fillId="3" borderId="18" xfId="0" applyNumberFormat="1" applyFont="1" applyFill="1" applyBorder="1" applyAlignment="1">
      <alignment horizontal="center"/>
    </xf>
    <xf numFmtId="0" fontId="2" fillId="4" borderId="28" xfId="0" applyFont="1" applyFill="1" applyBorder="1" applyAlignment="1">
      <alignment horizontal="center"/>
    </xf>
    <xf numFmtId="3" fontId="7" fillId="3" borderId="25" xfId="1" applyNumberFormat="1" applyFont="1" applyFill="1" applyBorder="1" applyAlignment="1">
      <alignment horizontal="right"/>
    </xf>
    <xf numFmtId="3" fontId="7" fillId="3" borderId="28" xfId="1" applyNumberFormat="1" applyFont="1" applyFill="1" applyBorder="1" applyAlignment="1">
      <alignment horizontal="right"/>
    </xf>
    <xf numFmtId="3" fontId="7" fillId="3" borderId="36" xfId="1" applyNumberFormat="1" applyFont="1" applyFill="1" applyBorder="1" applyAlignment="1">
      <alignment horizontal="right"/>
    </xf>
    <xf numFmtId="16" fontId="5" fillId="3" borderId="40" xfId="0" applyNumberFormat="1" applyFont="1" applyFill="1" applyBorder="1" applyAlignment="1">
      <alignment horizontal="center"/>
    </xf>
    <xf numFmtId="16" fontId="5" fillId="3" borderId="0" xfId="0" applyNumberFormat="1" applyFont="1" applyFill="1" applyAlignment="1">
      <alignment horizontal="center"/>
    </xf>
    <xf numFmtId="16" fontId="5" fillId="3" borderId="41" xfId="0" applyNumberFormat="1" applyFont="1" applyFill="1" applyBorder="1" applyAlignment="1">
      <alignment horizontal="center"/>
    </xf>
    <xf numFmtId="10" fontId="7" fillId="3" borderId="0" xfId="0" applyNumberFormat="1" applyFont="1" applyFill="1" applyAlignment="1">
      <alignment horizontal="center"/>
    </xf>
    <xf numFmtId="10" fontId="7" fillId="3" borderId="41" xfId="0" applyNumberFormat="1" applyFont="1" applyFill="1" applyBorder="1" applyAlignment="1">
      <alignment horizontal="center"/>
    </xf>
    <xf numFmtId="167" fontId="7" fillId="3" borderId="40" xfId="0" applyNumberFormat="1" applyFont="1" applyFill="1" applyBorder="1" applyAlignment="1">
      <alignment horizontal="center"/>
    </xf>
    <xf numFmtId="167" fontId="7" fillId="3" borderId="0" xfId="0" applyNumberFormat="1" applyFont="1" applyFill="1" applyAlignment="1">
      <alignment horizontal="center"/>
    </xf>
    <xf numFmtId="14" fontId="5" fillId="3" borderId="25" xfId="0" applyNumberFormat="1" applyFont="1" applyFill="1" applyBorder="1" applyAlignment="1">
      <alignment horizontal="center"/>
    </xf>
    <xf numFmtId="14" fontId="5" fillId="3" borderId="28" xfId="0" applyNumberFormat="1" applyFont="1" applyFill="1" applyBorder="1" applyAlignment="1">
      <alignment horizontal="center"/>
    </xf>
    <xf numFmtId="14" fontId="5" fillId="3" borderId="44" xfId="0" applyNumberFormat="1" applyFont="1" applyFill="1" applyBorder="1" applyAlignment="1">
      <alignment horizontal="center"/>
    </xf>
    <xf numFmtId="10" fontId="5" fillId="3" borderId="25" xfId="0" applyNumberFormat="1" applyFont="1" applyFill="1" applyBorder="1" applyAlignment="1">
      <alignment horizontal="center"/>
    </xf>
    <xf numFmtId="10" fontId="5" fillId="3" borderId="44" xfId="0" applyNumberFormat="1" applyFont="1" applyFill="1" applyBorder="1" applyAlignment="1">
      <alignment horizontal="center"/>
    </xf>
    <xf numFmtId="167" fontId="7" fillId="3" borderId="21" xfId="0" applyNumberFormat="1" applyFont="1" applyFill="1" applyBorder="1" applyAlignment="1">
      <alignment horizontal="center"/>
    </xf>
    <xf numFmtId="167" fontId="7" fillId="3" borderId="22" xfId="0" applyNumberFormat="1" applyFont="1" applyFill="1" applyBorder="1" applyAlignment="1">
      <alignment horizontal="center"/>
    </xf>
    <xf numFmtId="0" fontId="2" fillId="7" borderId="27" xfId="0" applyFont="1" applyFill="1" applyBorder="1" applyAlignment="1">
      <alignment horizontal="center"/>
    </xf>
    <xf numFmtId="0" fontId="2" fillId="7" borderId="19" xfId="0" applyFont="1" applyFill="1" applyBorder="1" applyAlignment="1">
      <alignment horizontal="center"/>
    </xf>
    <xf numFmtId="0" fontId="2" fillId="7" borderId="24" xfId="0" applyFont="1" applyFill="1" applyBorder="1" applyAlignment="1">
      <alignment horizontal="center"/>
    </xf>
    <xf numFmtId="0" fontId="6" fillId="7" borderId="19" xfId="0" applyFont="1" applyFill="1" applyBorder="1" applyAlignment="1">
      <alignment horizontal="center"/>
    </xf>
    <xf numFmtId="0" fontId="6" fillId="7" borderId="24" xfId="0" applyFont="1" applyFill="1" applyBorder="1" applyAlignment="1">
      <alignment horizontal="center"/>
    </xf>
    <xf numFmtId="167" fontId="7" fillId="7" borderId="27" xfId="1" applyNumberFormat="1" applyFont="1" applyFill="1" applyBorder="1" applyAlignment="1">
      <alignment horizontal="center"/>
    </xf>
    <xf numFmtId="167" fontId="7" fillId="7" borderId="19" xfId="1" applyNumberFormat="1" applyFont="1" applyFill="1" applyBorder="1" applyAlignment="1">
      <alignment horizontal="center"/>
    </xf>
    <xf numFmtId="167" fontId="7" fillId="7" borderId="49" xfId="0" applyNumberFormat="1" applyFont="1" applyFill="1" applyBorder="1" applyAlignment="1">
      <alignment horizontal="center"/>
    </xf>
    <xf numFmtId="167" fontId="7" fillId="7" borderId="50" xfId="0" applyNumberFormat="1"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10" fontId="7" fillId="3" borderId="48" xfId="0" applyNumberFormat="1" applyFont="1" applyFill="1" applyBorder="1" applyAlignment="1">
      <alignment horizontal="center" vertical="center"/>
    </xf>
    <xf numFmtId="10" fontId="7" fillId="3" borderId="3" xfId="0" applyNumberFormat="1" applyFont="1" applyFill="1" applyBorder="1" applyAlignment="1">
      <alignment horizontal="center" vertical="center"/>
    </xf>
    <xf numFmtId="10" fontId="7" fillId="3" borderId="4"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25" xfId="0" applyFont="1" applyFill="1" applyBorder="1" applyAlignment="1">
      <alignment horizontal="center"/>
    </xf>
    <xf numFmtId="0" fontId="2" fillId="4" borderId="44"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1" fontId="5" fillId="3" borderId="21" xfId="1" applyNumberFormat="1" applyFont="1" applyFill="1" applyBorder="1" applyAlignment="1">
      <alignment horizontal="right"/>
    </xf>
    <xf numFmtId="1" fontId="5" fillId="3" borderId="22" xfId="1" applyNumberFormat="1" applyFont="1" applyFill="1" applyBorder="1" applyAlignment="1">
      <alignment horizontal="right"/>
    </xf>
    <xf numFmtId="3" fontId="5" fillId="3" borderId="21" xfId="1" applyNumberFormat="1" applyFont="1" applyFill="1" applyBorder="1" applyAlignment="1">
      <alignment horizontal="right"/>
    </xf>
    <xf numFmtId="3" fontId="5" fillId="3" borderId="22" xfId="1" applyNumberFormat="1" applyFont="1" applyFill="1" applyBorder="1" applyAlignment="1">
      <alignment horizontal="right"/>
    </xf>
    <xf numFmtId="3" fontId="5" fillId="3" borderId="38" xfId="1" applyNumberFormat="1" applyFont="1" applyFill="1" applyBorder="1" applyAlignment="1">
      <alignment horizontal="right"/>
    </xf>
    <xf numFmtId="3" fontId="5" fillId="3" borderId="51" xfId="1" applyNumberFormat="1" applyFont="1" applyFill="1" applyBorder="1" applyAlignment="1">
      <alignment horizontal="right"/>
    </xf>
    <xf numFmtId="1" fontId="5" fillId="3" borderId="52" xfId="1" applyNumberFormat="1" applyFont="1" applyFill="1" applyBorder="1" applyAlignment="1">
      <alignment horizontal="right"/>
    </xf>
    <xf numFmtId="1" fontId="5" fillId="3" borderId="53" xfId="1" applyNumberFormat="1" applyFont="1" applyFill="1" applyBorder="1" applyAlignment="1">
      <alignment horizontal="right"/>
    </xf>
    <xf numFmtId="164" fontId="14" fillId="6" borderId="42" xfId="1" applyNumberFormat="1" applyFont="1" applyFill="1" applyBorder="1" applyAlignment="1">
      <alignment horizontal="right"/>
    </xf>
    <xf numFmtId="164" fontId="14" fillId="6" borderId="7" xfId="1" applyNumberFormat="1" applyFont="1" applyFill="1" applyBorder="1" applyAlignment="1">
      <alignment horizontal="right"/>
    </xf>
    <xf numFmtId="164" fontId="14" fillId="6" borderId="43" xfId="1" applyNumberFormat="1" applyFont="1" applyFill="1" applyBorder="1" applyAlignment="1">
      <alignment horizontal="right"/>
    </xf>
    <xf numFmtId="164" fontId="14" fillId="6" borderId="8" xfId="1" applyNumberFormat="1" applyFont="1" applyFill="1" applyBorder="1" applyAlignment="1">
      <alignment horizontal="right"/>
    </xf>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164" fontId="5" fillId="0" borderId="25" xfId="1" applyNumberFormat="1" applyFont="1" applyFill="1" applyBorder="1" applyAlignment="1">
      <alignment horizontal="right"/>
    </xf>
    <xf numFmtId="164" fontId="5" fillId="0" borderId="28" xfId="1" applyNumberFormat="1" applyFont="1" applyFill="1" applyBorder="1" applyAlignment="1">
      <alignment horizontal="right"/>
    </xf>
    <xf numFmtId="164" fontId="5" fillId="0" borderId="44" xfId="1" applyNumberFormat="1" applyFont="1" applyFill="1" applyBorder="1" applyAlignment="1">
      <alignment horizontal="right"/>
    </xf>
    <xf numFmtId="164" fontId="5" fillId="3" borderId="25" xfId="1" applyNumberFormat="1" applyFont="1" applyFill="1" applyBorder="1" applyAlignment="1">
      <alignment horizontal="center"/>
    </xf>
    <xf numFmtId="164" fontId="5" fillId="3" borderId="28" xfId="1" applyNumberFormat="1" applyFont="1" applyFill="1" applyBorder="1" applyAlignment="1">
      <alignment horizontal="center"/>
    </xf>
    <xf numFmtId="164" fontId="5" fillId="3" borderId="36" xfId="1" applyNumberFormat="1" applyFont="1" applyFill="1" applyBorder="1" applyAlignment="1">
      <alignment horizontal="center"/>
    </xf>
    <xf numFmtId="164" fontId="5" fillId="0" borderId="37" xfId="1" applyNumberFormat="1" applyFont="1" applyFill="1" applyBorder="1" applyAlignment="1">
      <alignment horizontal="right"/>
    </xf>
    <xf numFmtId="164" fontId="5" fillId="0" borderId="32" xfId="1" applyNumberFormat="1" applyFont="1" applyFill="1" applyBorder="1" applyAlignment="1">
      <alignment horizontal="right"/>
    </xf>
    <xf numFmtId="164" fontId="5" fillId="0" borderId="47" xfId="1" applyNumberFormat="1" applyFont="1" applyFill="1" applyBorder="1" applyAlignment="1">
      <alignment horizontal="right"/>
    </xf>
    <xf numFmtId="164" fontId="5" fillId="0" borderId="37" xfId="1" applyNumberFormat="1" applyFont="1" applyFill="1" applyBorder="1" applyAlignment="1">
      <alignment horizontal="center"/>
    </xf>
    <xf numFmtId="164" fontId="5" fillId="0" borderId="32" xfId="1" applyNumberFormat="1" applyFont="1" applyFill="1" applyBorder="1" applyAlignment="1">
      <alignment horizontal="center"/>
    </xf>
    <xf numFmtId="164" fontId="5" fillId="0" borderId="47" xfId="1" applyNumberFormat="1" applyFont="1" applyFill="1" applyBorder="1" applyAlignment="1">
      <alignment horizontal="center"/>
    </xf>
    <xf numFmtId="164" fontId="5" fillId="3" borderId="37" xfId="1" applyNumberFormat="1" applyFont="1" applyFill="1" applyBorder="1" applyAlignment="1">
      <alignment horizontal="center"/>
    </xf>
    <xf numFmtId="164" fontId="5" fillId="3" borderId="32" xfId="1" applyNumberFormat="1" applyFont="1" applyFill="1" applyBorder="1" applyAlignment="1">
      <alignment horizontal="center"/>
    </xf>
    <xf numFmtId="164" fontId="5" fillId="3" borderId="34" xfId="1" applyNumberFormat="1" applyFont="1" applyFill="1" applyBorder="1" applyAlignment="1">
      <alignment horizontal="center"/>
    </xf>
    <xf numFmtId="0" fontId="2" fillId="6" borderId="9" xfId="0" applyFont="1" applyFill="1" applyBorder="1" applyAlignment="1">
      <alignment horizontal="left"/>
    </xf>
    <xf numFmtId="0" fontId="2" fillId="6" borderId="10" xfId="0" applyFont="1" applyFill="1" applyBorder="1" applyAlignment="1">
      <alignment horizontal="left"/>
    </xf>
    <xf numFmtId="0" fontId="2" fillId="6" borderId="55" xfId="0" applyFont="1" applyFill="1" applyBorder="1" applyAlignment="1">
      <alignment horizontal="left"/>
    </xf>
    <xf numFmtId="164" fontId="5" fillId="0" borderId="40" xfId="1" applyNumberFormat="1" applyFont="1" applyFill="1" applyBorder="1" applyAlignment="1">
      <alignment horizontal="right"/>
    </xf>
    <xf numFmtId="164" fontId="5" fillId="0" borderId="0" xfId="1" applyNumberFormat="1" applyFont="1" applyFill="1" applyBorder="1" applyAlignment="1">
      <alignment horizontal="right"/>
    </xf>
    <xf numFmtId="164" fontId="5" fillId="0" borderId="40" xfId="1" applyNumberFormat="1" applyFont="1" applyFill="1" applyBorder="1" applyAlignment="1">
      <alignment horizontal="center"/>
    </xf>
    <xf numFmtId="164" fontId="5" fillId="0" borderId="0" xfId="1" applyNumberFormat="1" applyFont="1" applyFill="1" applyBorder="1" applyAlignment="1">
      <alignment horizontal="center"/>
    </xf>
    <xf numFmtId="164" fontId="5" fillId="3" borderId="40" xfId="1" applyNumberFormat="1" applyFont="1" applyFill="1" applyBorder="1" applyAlignment="1">
      <alignment horizontal="center"/>
    </xf>
    <xf numFmtId="164" fontId="5" fillId="3" borderId="0" xfId="1" applyNumberFormat="1" applyFont="1" applyFill="1" applyBorder="1" applyAlignment="1">
      <alignment horizontal="center"/>
    </xf>
    <xf numFmtId="164" fontId="5" fillId="0" borderId="31" xfId="1" applyNumberFormat="1" applyFont="1" applyFill="1" applyBorder="1" applyAlignment="1">
      <alignment horizontal="right"/>
    </xf>
    <xf numFmtId="164" fontId="5" fillId="0" borderId="18" xfId="1" applyNumberFormat="1" applyFont="1" applyFill="1" applyBorder="1" applyAlignment="1">
      <alignment horizontal="right"/>
    </xf>
    <xf numFmtId="164" fontId="5" fillId="0" borderId="31" xfId="1" applyNumberFormat="1" applyFont="1" applyFill="1" applyBorder="1" applyAlignment="1">
      <alignment horizontal="center"/>
    </xf>
    <xf numFmtId="164" fontId="5" fillId="0" borderId="18" xfId="1" applyNumberFormat="1" applyFont="1" applyFill="1" applyBorder="1" applyAlignment="1">
      <alignment horizontal="center"/>
    </xf>
    <xf numFmtId="164" fontId="5" fillId="0" borderId="27" xfId="1" applyNumberFormat="1" applyFont="1" applyFill="1" applyBorder="1" applyAlignment="1">
      <alignment horizontal="right"/>
    </xf>
    <xf numFmtId="164" fontId="5" fillId="0" borderId="19" xfId="1" applyNumberFormat="1" applyFont="1" applyFill="1" applyBorder="1" applyAlignment="1">
      <alignment horizontal="right"/>
    </xf>
    <xf numFmtId="164" fontId="5" fillId="0" borderId="24" xfId="1" applyNumberFormat="1" applyFont="1" applyFill="1" applyBorder="1" applyAlignment="1">
      <alignment horizontal="right"/>
    </xf>
    <xf numFmtId="164" fontId="5" fillId="0" borderId="27" xfId="1" applyNumberFormat="1" applyFont="1" applyFill="1" applyBorder="1" applyAlignment="1">
      <alignment horizontal="center"/>
    </xf>
    <xf numFmtId="164" fontId="5" fillId="0" borderId="19" xfId="1" applyNumberFormat="1" applyFont="1" applyFill="1" applyBorder="1" applyAlignment="1">
      <alignment horizontal="center"/>
    </xf>
    <xf numFmtId="164" fontId="5" fillId="0" borderId="24" xfId="1" applyNumberFormat="1" applyFont="1" applyFill="1" applyBorder="1" applyAlignment="1">
      <alignment horizontal="center"/>
    </xf>
    <xf numFmtId="164" fontId="5" fillId="0" borderId="29" xfId="1" applyNumberFormat="1" applyFont="1" applyFill="1" applyBorder="1" applyAlignment="1">
      <alignment horizontal="center"/>
    </xf>
    <xf numFmtId="164" fontId="5" fillId="0" borderId="25" xfId="1" applyNumberFormat="1" applyFont="1" applyFill="1" applyBorder="1" applyAlignment="1">
      <alignment horizontal="center"/>
    </xf>
    <xf numFmtId="164" fontId="5" fillId="0" borderId="28" xfId="1" applyNumberFormat="1" applyFont="1" applyFill="1" applyBorder="1" applyAlignment="1">
      <alignment horizontal="center"/>
    </xf>
    <xf numFmtId="164" fontId="5" fillId="0" borderId="44" xfId="1" applyNumberFormat="1" applyFont="1" applyFill="1" applyBorder="1" applyAlignment="1">
      <alignment horizontal="center"/>
    </xf>
    <xf numFmtId="164" fontId="5" fillId="3" borderId="31" xfId="1" applyNumberFormat="1" applyFont="1" applyFill="1" applyBorder="1" applyAlignment="1">
      <alignment horizontal="center"/>
    </xf>
    <xf numFmtId="164" fontId="5" fillId="3" borderId="18" xfId="1" applyNumberFormat="1" applyFont="1" applyFill="1" applyBorder="1" applyAlignment="1">
      <alignment horizontal="center"/>
    </xf>
    <xf numFmtId="164" fontId="5" fillId="3" borderId="40" xfId="1" applyNumberFormat="1" applyFont="1" applyFill="1" applyBorder="1" applyAlignment="1">
      <alignment horizontal="right"/>
    </xf>
    <xf numFmtId="164" fontId="5" fillId="3" borderId="0" xfId="1" applyNumberFormat="1" applyFont="1" applyFill="1" applyBorder="1" applyAlignment="1">
      <alignment horizontal="right"/>
    </xf>
    <xf numFmtId="164" fontId="5" fillId="3" borderId="44" xfId="1" applyNumberFormat="1" applyFont="1" applyFill="1" applyBorder="1" applyAlignment="1">
      <alignment horizontal="center"/>
    </xf>
    <xf numFmtId="164" fontId="5" fillId="3" borderId="27" xfId="1" applyNumberFormat="1" applyFont="1" applyFill="1" applyBorder="1" applyAlignment="1">
      <alignment horizontal="center"/>
    </xf>
    <xf numFmtId="164" fontId="5" fillId="3" borderId="19" xfId="1" applyNumberFormat="1" applyFont="1" applyFill="1" applyBorder="1" applyAlignment="1">
      <alignment horizontal="center"/>
    </xf>
    <xf numFmtId="164" fontId="5" fillId="3" borderId="24" xfId="1" applyNumberFormat="1" applyFont="1" applyFill="1" applyBorder="1" applyAlignment="1">
      <alignment horizontal="center"/>
    </xf>
    <xf numFmtId="164" fontId="5" fillId="3" borderId="1" xfId="1" applyNumberFormat="1" applyFont="1" applyFill="1" applyBorder="1" applyAlignment="1">
      <alignment horizontal="right"/>
    </xf>
    <xf numFmtId="164" fontId="5" fillId="3" borderId="25" xfId="1" applyNumberFormat="1" applyFont="1" applyFill="1" applyBorder="1" applyAlignment="1">
      <alignment horizontal="right"/>
    </xf>
    <xf numFmtId="164" fontId="5" fillId="3" borderId="28" xfId="1" applyNumberFormat="1" applyFont="1" applyFill="1" applyBorder="1" applyAlignment="1">
      <alignment horizontal="right"/>
    </xf>
    <xf numFmtId="164" fontId="5" fillId="3" borderId="44" xfId="1" applyNumberFormat="1" applyFont="1" applyFill="1" applyBorder="1" applyAlignment="1">
      <alignment horizontal="right"/>
    </xf>
    <xf numFmtId="164" fontId="5" fillId="3" borderId="29" xfId="1" applyNumberFormat="1" applyFont="1" applyFill="1" applyBorder="1" applyAlignment="1">
      <alignment horizontal="center"/>
    </xf>
    <xf numFmtId="164" fontId="5" fillId="3" borderId="27" xfId="1" applyNumberFormat="1" applyFont="1" applyFill="1" applyBorder="1" applyAlignment="1">
      <alignment horizontal="right"/>
    </xf>
    <xf numFmtId="164" fontId="5" fillId="3" borderId="19" xfId="1" applyNumberFormat="1" applyFont="1" applyFill="1" applyBorder="1" applyAlignment="1">
      <alignment horizontal="right"/>
    </xf>
    <xf numFmtId="164" fontId="5" fillId="3" borderId="24" xfId="1" applyNumberFormat="1" applyFont="1" applyFill="1" applyBorder="1" applyAlignment="1">
      <alignment horizontal="right"/>
    </xf>
    <xf numFmtId="164" fontId="7" fillId="0" borderId="31" xfId="1" applyNumberFormat="1" applyFont="1" applyFill="1" applyBorder="1" applyAlignment="1">
      <alignment horizontal="right"/>
    </xf>
    <xf numFmtId="164" fontId="7" fillId="0" borderId="18" xfId="1" applyNumberFormat="1" applyFont="1" applyFill="1" applyBorder="1" applyAlignment="1">
      <alignment horizontal="right"/>
    </xf>
    <xf numFmtId="164" fontId="7" fillId="0" borderId="40" xfId="1" applyNumberFormat="1" applyFont="1" applyFill="1" applyBorder="1" applyAlignment="1">
      <alignment horizontal="right"/>
    </xf>
    <xf numFmtId="164" fontId="7" fillId="0" borderId="0" xfId="1" applyNumberFormat="1" applyFont="1" applyFill="1" applyBorder="1" applyAlignment="1">
      <alignment horizontal="right"/>
    </xf>
    <xf numFmtId="164" fontId="5" fillId="3" borderId="31" xfId="1" applyNumberFormat="1" applyFont="1" applyFill="1" applyBorder="1" applyAlignment="1">
      <alignment horizontal="right"/>
    </xf>
    <xf numFmtId="164" fontId="5" fillId="3" borderId="18" xfId="1" applyNumberFormat="1" applyFont="1" applyFill="1" applyBorder="1" applyAlignment="1">
      <alignment horizontal="right"/>
    </xf>
    <xf numFmtId="164" fontId="7" fillId="3" borderId="25" xfId="1" applyNumberFormat="1" applyFont="1" applyFill="1" applyBorder="1" applyAlignment="1">
      <alignment horizontal="right"/>
    </xf>
    <xf numFmtId="164" fontId="7" fillId="3" borderId="28" xfId="1" applyNumberFormat="1" applyFont="1" applyFill="1" applyBorder="1" applyAlignment="1">
      <alignment horizontal="right"/>
    </xf>
    <xf numFmtId="164" fontId="7" fillId="3" borderId="44" xfId="1" applyNumberFormat="1" applyFont="1" applyFill="1" applyBorder="1" applyAlignment="1">
      <alignment horizontal="right"/>
    </xf>
    <xf numFmtId="164" fontId="5" fillId="3" borderId="49" xfId="1" applyNumberFormat="1" applyFont="1" applyFill="1" applyBorder="1" applyAlignment="1">
      <alignment horizontal="center"/>
    </xf>
    <xf numFmtId="164" fontId="5" fillId="3" borderId="50" xfId="1" applyNumberFormat="1" applyFont="1" applyFill="1" applyBorder="1" applyAlignment="1">
      <alignment horizontal="center"/>
    </xf>
    <xf numFmtId="43" fontId="5" fillId="3" borderId="27" xfId="0" applyNumberFormat="1" applyFont="1" applyFill="1" applyBorder="1" applyAlignment="1">
      <alignment horizontal="right"/>
    </xf>
    <xf numFmtId="43" fontId="5" fillId="3" borderId="19" xfId="0" applyNumberFormat="1" applyFont="1" applyFill="1" applyBorder="1" applyAlignment="1">
      <alignment horizontal="right"/>
    </xf>
    <xf numFmtId="0" fontId="13" fillId="3" borderId="42" xfId="0" applyFont="1" applyFill="1" applyBorder="1" applyAlignment="1">
      <alignment horizontal="right"/>
    </xf>
    <xf numFmtId="0" fontId="13" fillId="3" borderId="7" xfId="0" applyFont="1" applyFill="1" applyBorder="1" applyAlignment="1">
      <alignment horizontal="right"/>
    </xf>
    <xf numFmtId="0" fontId="13" fillId="3" borderId="8" xfId="0" applyFont="1" applyFill="1" applyBorder="1" applyAlignment="1">
      <alignment horizontal="right"/>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46" xfId="0" applyFont="1" applyFill="1" applyBorder="1" applyAlignment="1">
      <alignment horizontal="left" vertical="center"/>
    </xf>
    <xf numFmtId="0" fontId="2" fillId="4" borderId="4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3" borderId="40" xfId="0" applyFont="1" applyFill="1" applyBorder="1" applyAlignment="1">
      <alignment horizontal="right"/>
    </xf>
    <xf numFmtId="0" fontId="5" fillId="3" borderId="0" xfId="0" applyFont="1" applyFill="1" applyAlignment="1">
      <alignment horizontal="right"/>
    </xf>
    <xf numFmtId="0" fontId="13" fillId="3" borderId="31" xfId="0" applyFont="1" applyFill="1" applyBorder="1" applyAlignment="1">
      <alignment horizontal="right"/>
    </xf>
    <xf numFmtId="0" fontId="13" fillId="3" borderId="18" xfId="0" applyFont="1" applyFill="1" applyBorder="1" applyAlignment="1">
      <alignment horizontal="right"/>
    </xf>
    <xf numFmtId="0" fontId="13" fillId="3" borderId="39" xfId="0" applyFont="1" applyFill="1" applyBorder="1" applyAlignment="1">
      <alignment horizontal="right"/>
    </xf>
    <xf numFmtId="43" fontId="5" fillId="3" borderId="40" xfId="0" applyNumberFormat="1" applyFont="1" applyFill="1" applyBorder="1" applyAlignment="1">
      <alignment horizontal="right"/>
    </xf>
    <xf numFmtId="43" fontId="5" fillId="3" borderId="0" xfId="0" applyNumberFormat="1" applyFont="1" applyFill="1" applyAlignment="1">
      <alignment horizontal="right"/>
    </xf>
    <xf numFmtId="0" fontId="5" fillId="3" borderId="27" xfId="0" applyFont="1" applyFill="1" applyBorder="1" applyAlignment="1">
      <alignment horizontal="right"/>
    </xf>
    <xf numFmtId="0" fontId="5" fillId="3" borderId="19" xfId="0" applyFont="1" applyFill="1" applyBorder="1" applyAlignment="1">
      <alignment horizontal="right"/>
    </xf>
    <xf numFmtId="43" fontId="5" fillId="3" borderId="37" xfId="1" applyFont="1" applyFill="1" applyBorder="1" applyAlignment="1">
      <alignment horizontal="center"/>
    </xf>
    <xf numFmtId="43" fontId="5" fillId="3" borderId="32" xfId="1" applyFont="1" applyFill="1" applyBorder="1" applyAlignment="1">
      <alignment horizontal="center"/>
    </xf>
    <xf numFmtId="43" fontId="5" fillId="3" borderId="47" xfId="1" applyFont="1" applyFill="1" applyBorder="1" applyAlignment="1">
      <alignment horizontal="center"/>
    </xf>
    <xf numFmtId="43" fontId="5" fillId="3" borderId="34" xfId="1" applyFont="1" applyFill="1" applyBorder="1" applyAlignment="1">
      <alignment horizontal="center"/>
    </xf>
    <xf numFmtId="0" fontId="2" fillId="6" borderId="45" xfId="0" applyFont="1" applyFill="1" applyBorder="1" applyAlignment="1">
      <alignment horizontal="center"/>
    </xf>
    <xf numFmtId="0" fontId="2" fillId="6" borderId="13" xfId="0" applyFont="1" applyFill="1" applyBorder="1" applyAlignment="1">
      <alignment horizontal="center"/>
    </xf>
    <xf numFmtId="0" fontId="2" fillId="6" borderId="46" xfId="0" applyFont="1" applyFill="1" applyBorder="1" applyAlignment="1">
      <alignment horizontal="center"/>
    </xf>
    <xf numFmtId="0" fontId="2" fillId="6" borderId="31" xfId="0" applyFont="1" applyFill="1" applyBorder="1" applyAlignment="1">
      <alignment horizontal="center"/>
    </xf>
    <xf numFmtId="0" fontId="2" fillId="6" borderId="18" xfId="0" applyFont="1" applyFill="1" applyBorder="1" applyAlignment="1">
      <alignment horizontal="center"/>
    </xf>
    <xf numFmtId="0" fontId="2" fillId="6" borderId="26" xfId="0" applyFont="1" applyFill="1" applyBorder="1" applyAlignment="1">
      <alignment horizontal="center"/>
    </xf>
    <xf numFmtId="0" fontId="2" fillId="6" borderId="39" xfId="0" applyFont="1" applyFill="1" applyBorder="1" applyAlignment="1">
      <alignment horizontal="center"/>
    </xf>
    <xf numFmtId="43" fontId="5" fillId="3" borderId="25" xfId="1" applyFont="1" applyFill="1" applyBorder="1" applyAlignment="1">
      <alignment horizontal="center"/>
    </xf>
    <xf numFmtId="43" fontId="5" fillId="3" borderId="28" xfId="1" applyFont="1" applyFill="1" applyBorder="1" applyAlignment="1">
      <alignment horizontal="center"/>
    </xf>
    <xf numFmtId="43" fontId="5" fillId="3" borderId="44" xfId="1" applyFont="1" applyFill="1" applyBorder="1" applyAlignment="1">
      <alignment horizontal="center"/>
    </xf>
    <xf numFmtId="43" fontId="5" fillId="3" borderId="36" xfId="1" applyFont="1" applyFill="1" applyBorder="1" applyAlignment="1">
      <alignment horizontal="center"/>
    </xf>
    <xf numFmtId="164" fontId="5" fillId="0" borderId="42" xfId="1" applyNumberFormat="1" applyFont="1" applyFill="1" applyBorder="1" applyAlignment="1">
      <alignment horizontal="center"/>
    </xf>
    <xf numFmtId="164" fontId="5" fillId="0" borderId="7" xfId="1" applyNumberFormat="1" applyFont="1" applyFill="1" applyBorder="1" applyAlignment="1">
      <alignment horizontal="center"/>
    </xf>
    <xf numFmtId="164" fontId="5" fillId="3" borderId="39" xfId="1" applyNumberFormat="1" applyFont="1" applyFill="1" applyBorder="1" applyAlignment="1">
      <alignment horizontal="center"/>
    </xf>
    <xf numFmtId="164" fontId="5" fillId="0" borderId="25" xfId="1" applyNumberFormat="1" applyFont="1" applyBorder="1" applyAlignment="1">
      <alignment horizontal="center"/>
    </xf>
    <xf numFmtId="164" fontId="5" fillId="0" borderId="28" xfId="1" applyNumberFormat="1" applyFont="1" applyBorder="1" applyAlignment="1">
      <alignment horizontal="center"/>
    </xf>
    <xf numFmtId="164" fontId="5" fillId="0" borderId="36" xfId="1" applyNumberFormat="1" applyFont="1" applyBorder="1" applyAlignment="1">
      <alignment horizontal="center"/>
    </xf>
    <xf numFmtId="164" fontId="7" fillId="3" borderId="40" xfId="0" applyNumberFormat="1" applyFont="1" applyFill="1" applyBorder="1" applyAlignment="1">
      <alignment horizontal="center"/>
    </xf>
    <xf numFmtId="164" fontId="7" fillId="3" borderId="0" xfId="0" applyNumberFormat="1" applyFont="1" applyFill="1" applyAlignment="1">
      <alignment horizontal="center"/>
    </xf>
    <xf numFmtId="164" fontId="7" fillId="3" borderId="1" xfId="0" applyNumberFormat="1" applyFont="1" applyFill="1" applyBorder="1" applyAlignment="1">
      <alignment horizontal="center"/>
    </xf>
    <xf numFmtId="164" fontId="7" fillId="3" borderId="40" xfId="1" applyNumberFormat="1" applyFont="1" applyFill="1" applyBorder="1" applyAlignment="1">
      <alignment horizontal="center"/>
    </xf>
    <xf numFmtId="164" fontId="7" fillId="3" borderId="0" xfId="1" applyNumberFormat="1"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6" borderId="11" xfId="0" applyFont="1" applyFill="1" applyBorder="1" applyAlignment="1">
      <alignment horizontal="center"/>
    </xf>
    <xf numFmtId="164" fontId="7" fillId="0" borderId="40" xfId="0" applyNumberFormat="1" applyFont="1" applyBorder="1" applyAlignment="1">
      <alignment horizontal="center"/>
    </xf>
    <xf numFmtId="164" fontId="7" fillId="0" borderId="0" xfId="0" applyNumberFormat="1" applyFont="1" applyAlignment="1">
      <alignment horizontal="center"/>
    </xf>
    <xf numFmtId="164" fontId="7" fillId="0" borderId="1" xfId="0" applyNumberFormat="1" applyFont="1" applyBorder="1" applyAlignment="1">
      <alignment horizontal="center"/>
    </xf>
    <xf numFmtId="164" fontId="5" fillId="3" borderId="42" xfId="1" applyNumberFormat="1" applyFont="1" applyFill="1" applyBorder="1" applyAlignment="1">
      <alignment horizontal="center"/>
    </xf>
    <xf numFmtId="164" fontId="5" fillId="3" borderId="7" xfId="1" applyNumberFormat="1" applyFont="1" applyFill="1" applyBorder="1" applyAlignment="1">
      <alignment horizontal="center"/>
    </xf>
    <xf numFmtId="164" fontId="7" fillId="0" borderId="27" xfId="1" applyNumberFormat="1" applyFont="1" applyFill="1" applyBorder="1" applyAlignment="1">
      <alignment horizontal="center"/>
    </xf>
    <xf numFmtId="164" fontId="7" fillId="0" borderId="19" xfId="1" applyNumberFormat="1" applyFont="1" applyFill="1" applyBorder="1" applyAlignment="1">
      <alignment horizontal="center"/>
    </xf>
    <xf numFmtId="164" fontId="7" fillId="0" borderId="29" xfId="1" applyNumberFormat="1" applyFont="1" applyFill="1" applyBorder="1" applyAlignment="1">
      <alignment horizontal="center"/>
    </xf>
    <xf numFmtId="164" fontId="7" fillId="3" borderId="27" xfId="1" applyNumberFormat="1" applyFont="1" applyFill="1" applyBorder="1" applyAlignment="1">
      <alignment horizontal="center"/>
    </xf>
    <xf numFmtId="164" fontId="7" fillId="3" borderId="19" xfId="1" applyNumberFormat="1" applyFont="1" applyFill="1" applyBorder="1" applyAlignment="1">
      <alignment horizontal="center"/>
    </xf>
    <xf numFmtId="164" fontId="7" fillId="3" borderId="29" xfId="1" applyNumberFormat="1" applyFont="1" applyFill="1" applyBorder="1" applyAlignment="1">
      <alignment horizontal="center"/>
    </xf>
    <xf numFmtId="164" fontId="7" fillId="3" borderId="31" xfId="1" applyNumberFormat="1" applyFont="1" applyFill="1" applyBorder="1" applyAlignment="1">
      <alignment horizontal="center"/>
    </xf>
    <xf numFmtId="164" fontId="7" fillId="3" borderId="18" xfId="1" applyNumberFormat="1" applyFont="1" applyFill="1" applyBorder="1" applyAlignment="1">
      <alignment horizontal="center"/>
    </xf>
    <xf numFmtId="164" fontId="7" fillId="3" borderId="39" xfId="1" applyNumberFormat="1" applyFont="1" applyFill="1" applyBorder="1" applyAlignment="1">
      <alignment horizontal="center"/>
    </xf>
    <xf numFmtId="164" fontId="7" fillId="3" borderId="25" xfId="1" applyNumberFormat="1" applyFont="1" applyFill="1" applyBorder="1" applyAlignment="1">
      <alignment horizontal="center"/>
    </xf>
    <xf numFmtId="164" fontId="7" fillId="3" borderId="28" xfId="1" applyNumberFormat="1" applyFont="1" applyFill="1" applyBorder="1" applyAlignment="1">
      <alignment horizontal="center"/>
    </xf>
    <xf numFmtId="164" fontId="7" fillId="3" borderId="36" xfId="1" applyNumberFormat="1" applyFont="1" applyFill="1" applyBorder="1" applyAlignment="1">
      <alignment horizontal="center"/>
    </xf>
    <xf numFmtId="164" fontId="7" fillId="3" borderId="27" xfId="0" applyNumberFormat="1" applyFont="1" applyFill="1" applyBorder="1" applyAlignment="1">
      <alignment horizontal="center"/>
    </xf>
    <xf numFmtId="164" fontId="7" fillId="3" borderId="19" xfId="0" applyNumberFormat="1" applyFont="1" applyFill="1" applyBorder="1" applyAlignment="1">
      <alignment horizontal="center"/>
    </xf>
    <xf numFmtId="164" fontId="7" fillId="3" borderId="29" xfId="0" applyNumberFormat="1" applyFont="1" applyFill="1" applyBorder="1" applyAlignment="1">
      <alignment horizontal="center"/>
    </xf>
    <xf numFmtId="164" fontId="5" fillId="3" borderId="1" xfId="1" applyNumberFormat="1" applyFont="1" applyFill="1" applyBorder="1" applyAlignment="1">
      <alignment horizontal="center"/>
    </xf>
    <xf numFmtId="3" fontId="5" fillId="3" borderId="20" xfId="1" applyNumberFormat="1" applyFont="1" applyFill="1" applyBorder="1" applyAlignment="1"/>
    <xf numFmtId="3" fontId="5" fillId="3" borderId="21" xfId="1" applyNumberFormat="1" applyFont="1" applyFill="1" applyBorder="1" applyAlignment="1"/>
    <xf numFmtId="3" fontId="5" fillId="3" borderId="22" xfId="1" applyNumberFormat="1" applyFont="1" applyFill="1" applyBorder="1" applyAlignment="1"/>
    <xf numFmtId="0" fontId="0" fillId="3" borderId="33" xfId="0" applyFill="1" applyBorder="1" applyAlignment="1">
      <alignment horizontal="right"/>
    </xf>
    <xf numFmtId="0" fontId="0" fillId="3" borderId="32" xfId="0" applyFill="1" applyBorder="1" applyAlignment="1">
      <alignment horizontal="right"/>
    </xf>
    <xf numFmtId="0" fontId="0" fillId="3" borderId="34" xfId="0" applyFill="1" applyBorder="1" applyAlignment="1">
      <alignment horizontal="right"/>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1" fontId="5" fillId="3" borderId="23" xfId="1" applyNumberFormat="1" applyFont="1" applyFill="1" applyBorder="1" applyAlignment="1">
      <alignment horizontal="right" wrapText="1"/>
    </xf>
    <xf numFmtId="1" fontId="5" fillId="3" borderId="19" xfId="1" applyNumberFormat="1" applyFont="1" applyFill="1" applyBorder="1" applyAlignment="1">
      <alignment horizontal="right" wrapText="1"/>
    </xf>
    <xf numFmtId="1" fontId="5" fillId="3" borderId="29" xfId="1" applyNumberFormat="1" applyFont="1" applyFill="1" applyBorder="1" applyAlignment="1">
      <alignment horizontal="right" wrapText="1"/>
    </xf>
    <xf numFmtId="14" fontId="5" fillId="3" borderId="20" xfId="0" applyNumberFormat="1" applyFont="1" applyFill="1" applyBorder="1" applyAlignment="1">
      <alignment horizontal="right" wrapText="1"/>
    </xf>
    <xf numFmtId="14" fontId="5" fillId="3" borderId="21" xfId="0" applyNumberFormat="1" applyFont="1" applyFill="1" applyBorder="1" applyAlignment="1">
      <alignment horizontal="right" wrapText="1"/>
    </xf>
    <xf numFmtId="14" fontId="5" fillId="3" borderId="22" xfId="0" applyNumberFormat="1" applyFont="1" applyFill="1" applyBorder="1" applyAlignment="1">
      <alignment horizontal="right" wrapText="1"/>
    </xf>
    <xf numFmtId="0" fontId="2" fillId="4" borderId="23" xfId="0" applyFont="1" applyFill="1" applyBorder="1" applyAlignment="1">
      <alignment horizontal="left" vertical="center"/>
    </xf>
    <xf numFmtId="0" fontId="2" fillId="4" borderId="19" xfId="0" applyFont="1" applyFill="1" applyBorder="1" applyAlignment="1">
      <alignment horizontal="left" vertical="center"/>
    </xf>
    <xf numFmtId="0" fontId="2" fillId="4" borderId="24"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26" xfId="0" applyFont="1" applyFill="1" applyBorder="1" applyAlignment="1">
      <alignment horizontal="left"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9" xfId="0" applyFont="1" applyFill="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14" fontId="5" fillId="3" borderId="14" xfId="0" applyNumberFormat="1" applyFont="1" applyFill="1" applyBorder="1" applyAlignment="1">
      <alignment horizontal="right" wrapText="1"/>
    </xf>
    <xf numFmtId="14" fontId="5" fillId="3" borderId="15" xfId="0" applyNumberFormat="1" applyFont="1" applyFill="1" applyBorder="1" applyAlignment="1">
      <alignment horizontal="right" wrapText="1"/>
    </xf>
    <xf numFmtId="14" fontId="5" fillId="3" borderId="16" xfId="0" applyNumberFormat="1" applyFont="1" applyFill="1" applyBorder="1" applyAlignment="1">
      <alignment horizontal="right" wrapText="1"/>
    </xf>
    <xf numFmtId="3" fontId="5" fillId="3" borderId="23" xfId="1" applyNumberFormat="1" applyFont="1" applyFill="1" applyBorder="1" applyAlignment="1">
      <alignment wrapText="1"/>
    </xf>
    <xf numFmtId="3" fontId="5" fillId="3" borderId="19" xfId="1" applyNumberFormat="1" applyFont="1" applyFill="1" applyBorder="1" applyAlignment="1">
      <alignment wrapText="1"/>
    </xf>
    <xf numFmtId="3" fontId="5" fillId="3" borderId="29" xfId="1" applyNumberFormat="1" applyFont="1" applyFill="1" applyBorder="1" applyAlignment="1">
      <alignment wrapText="1"/>
    </xf>
    <xf numFmtId="164" fontId="0" fillId="3" borderId="31"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18" xfId="2" applyFont="1" applyFill="1" applyBorder="1" applyAlignment="1">
      <alignment horizontal="center"/>
    </xf>
    <xf numFmtId="164" fontId="0" fillId="3" borderId="31" xfId="1" applyNumberFormat="1" applyFont="1" applyFill="1" applyBorder="1" applyAlignment="1">
      <alignment horizontal="right"/>
    </xf>
    <xf numFmtId="164" fontId="0" fillId="3" borderId="26" xfId="1" applyNumberFormat="1" applyFont="1" applyFill="1" applyBorder="1" applyAlignment="1">
      <alignment horizontal="right"/>
    </xf>
    <xf numFmtId="9" fontId="0" fillId="3" borderId="31" xfId="2" applyFont="1" applyFill="1" applyBorder="1" applyAlignment="1">
      <alignment horizontal="center"/>
    </xf>
    <xf numFmtId="9" fontId="0" fillId="3" borderId="26" xfId="2" applyFont="1" applyFill="1" applyBorder="1" applyAlignment="1">
      <alignment horizontal="center"/>
    </xf>
    <xf numFmtId="164" fontId="2" fillId="3" borderId="25" xfId="1" applyNumberFormat="1" applyFont="1" applyFill="1" applyBorder="1" applyAlignment="1">
      <alignment horizontal="center"/>
    </xf>
    <xf numFmtId="164" fontId="2" fillId="3" borderId="44" xfId="1" applyNumberFormat="1" applyFont="1" applyFill="1" applyBorder="1" applyAlignment="1">
      <alignment horizontal="center"/>
    </xf>
    <xf numFmtId="9" fontId="2" fillId="3" borderId="25" xfId="0" applyNumberFormat="1" applyFont="1" applyFill="1" applyBorder="1" applyAlignment="1">
      <alignment horizontal="center"/>
    </xf>
    <xf numFmtId="0" fontId="2" fillId="3" borderId="44" xfId="0" applyFont="1" applyFill="1" applyBorder="1" applyAlignment="1">
      <alignment horizontal="center"/>
    </xf>
    <xf numFmtId="164" fontId="2" fillId="3" borderId="25" xfId="1" applyNumberFormat="1" applyFont="1" applyFill="1" applyBorder="1" applyAlignment="1">
      <alignment horizontal="right"/>
    </xf>
    <xf numFmtId="164" fontId="2" fillId="3" borderId="44" xfId="1" applyNumberFormat="1" applyFont="1" applyFill="1" applyBorder="1" applyAlignment="1">
      <alignment horizontal="right"/>
    </xf>
    <xf numFmtId="9" fontId="2" fillId="3" borderId="31" xfId="2" applyFont="1" applyFill="1" applyBorder="1" applyAlignment="1">
      <alignment horizontal="center"/>
    </xf>
    <xf numFmtId="9" fontId="2" fillId="3" borderId="26" xfId="2" applyFont="1" applyFill="1" applyBorder="1" applyAlignment="1">
      <alignment horizontal="center"/>
    </xf>
    <xf numFmtId="164" fontId="0" fillId="3" borderId="40" xfId="1" applyNumberFormat="1" applyFont="1" applyFill="1" applyBorder="1" applyAlignment="1">
      <alignment horizontal="center"/>
    </xf>
    <xf numFmtId="164" fontId="0" fillId="3" borderId="41" xfId="1" applyNumberFormat="1" applyFont="1" applyFill="1" applyBorder="1" applyAlignment="1">
      <alignment horizontal="center"/>
    </xf>
    <xf numFmtId="9" fontId="0" fillId="3" borderId="0" xfId="2" applyFont="1" applyFill="1" applyBorder="1" applyAlignment="1">
      <alignment horizontal="center"/>
    </xf>
    <xf numFmtId="164" fontId="0" fillId="3" borderId="40" xfId="1" applyNumberFormat="1" applyFont="1" applyFill="1" applyBorder="1" applyAlignment="1">
      <alignment horizontal="right"/>
    </xf>
    <xf numFmtId="164" fontId="0" fillId="3" borderId="41" xfId="1" applyNumberFormat="1" applyFont="1" applyFill="1" applyBorder="1" applyAlignment="1">
      <alignment horizontal="right"/>
    </xf>
    <xf numFmtId="9" fontId="0" fillId="3" borderId="41" xfId="2" applyFont="1" applyFill="1" applyBorder="1" applyAlignment="1">
      <alignment horizontal="center"/>
    </xf>
    <xf numFmtId="164" fontId="0" fillId="3" borderId="27" xfId="1" applyNumberFormat="1" applyFont="1" applyFill="1" applyBorder="1" applyAlignment="1">
      <alignment horizontal="center"/>
    </xf>
    <xf numFmtId="164" fontId="0" fillId="3" borderId="24" xfId="1" applyNumberFormat="1" applyFont="1" applyFill="1" applyBorder="1" applyAlignment="1">
      <alignment horizontal="center"/>
    </xf>
    <xf numFmtId="164" fontId="0" fillId="3" borderId="27" xfId="1" applyNumberFormat="1" applyFont="1" applyFill="1" applyBorder="1" applyAlignment="1">
      <alignment horizontal="right"/>
    </xf>
    <xf numFmtId="164" fontId="0" fillId="3" borderId="24" xfId="1" applyNumberFormat="1" applyFont="1" applyFill="1" applyBorder="1" applyAlignment="1">
      <alignment horizontal="right"/>
    </xf>
    <xf numFmtId="9" fontId="0" fillId="3" borderId="27" xfId="2" applyFont="1" applyFill="1" applyBorder="1" applyAlignment="1">
      <alignment horizontal="center"/>
    </xf>
    <xf numFmtId="9" fontId="0" fillId="3" borderId="24" xfId="2" applyFont="1" applyFill="1" applyBorder="1" applyAlignment="1">
      <alignment horizontal="center"/>
    </xf>
    <xf numFmtId="9" fontId="0" fillId="3" borderId="40" xfId="2" applyFont="1" applyFill="1" applyBorder="1" applyAlignment="1">
      <alignment horizontal="center"/>
    </xf>
    <xf numFmtId="9" fontId="2" fillId="3" borderId="44" xfId="0" applyNumberFormat="1" applyFont="1" applyFill="1" applyBorder="1" applyAlignment="1">
      <alignment horizontal="center"/>
    </xf>
    <xf numFmtId="164" fontId="2" fillId="3" borderId="25" xfId="0" applyNumberFormat="1" applyFont="1" applyFill="1" applyBorder="1" applyAlignment="1">
      <alignment horizontal="center"/>
    </xf>
    <xf numFmtId="164" fontId="2" fillId="3" borderId="31" xfId="0" applyNumberFormat="1" applyFont="1" applyFill="1" applyBorder="1" applyAlignment="1">
      <alignment horizontal="center"/>
    </xf>
    <xf numFmtId="0" fontId="2" fillId="3" borderId="26" xfId="0" applyFont="1" applyFill="1" applyBorder="1" applyAlignment="1">
      <alignment horizontal="center"/>
    </xf>
    <xf numFmtId="164" fontId="2" fillId="0" borderId="25" xfId="1" applyNumberFormat="1" applyFont="1" applyFill="1" applyBorder="1" applyAlignment="1">
      <alignment horizontal="center"/>
    </xf>
    <xf numFmtId="164" fontId="2" fillId="0" borderId="44" xfId="1" applyNumberFormat="1" applyFont="1" applyFill="1" applyBorder="1" applyAlignment="1">
      <alignment horizontal="center"/>
    </xf>
    <xf numFmtId="9" fontId="2" fillId="3" borderId="25" xfId="2" applyFont="1" applyFill="1" applyBorder="1" applyAlignment="1">
      <alignment horizontal="center"/>
    </xf>
    <xf numFmtId="9" fontId="2" fillId="3" borderId="44" xfId="2" applyFont="1" applyFill="1" applyBorder="1" applyAlignment="1">
      <alignment horizontal="center"/>
    </xf>
    <xf numFmtId="0" fontId="2" fillId="4" borderId="19" xfId="0" applyFont="1" applyFill="1" applyBorder="1" applyAlignment="1">
      <alignment horizontal="center"/>
    </xf>
    <xf numFmtId="0" fontId="2" fillId="4" borderId="24" xfId="0" applyFont="1" applyFill="1" applyBorder="1" applyAlignment="1">
      <alignment horizontal="center"/>
    </xf>
    <xf numFmtId="164" fontId="0" fillId="0" borderId="31" xfId="1" applyNumberFormat="1" applyFont="1" applyFill="1" applyBorder="1" applyAlignment="1">
      <alignment horizontal="center"/>
    </xf>
    <xf numFmtId="164" fontId="0" fillId="0" borderId="26" xfId="1" applyNumberFormat="1" applyFont="1" applyFill="1" applyBorder="1" applyAlignment="1">
      <alignment horizontal="center"/>
    </xf>
    <xf numFmtId="9" fontId="7" fillId="3" borderId="37" xfId="2" applyFont="1" applyFill="1" applyBorder="1" applyAlignment="1">
      <alignment horizontal="center"/>
    </xf>
    <xf numFmtId="9" fontId="7" fillId="3" borderId="32" xfId="2" applyFont="1" applyFill="1" applyBorder="1" applyAlignment="1">
      <alignment horizontal="center"/>
    </xf>
    <xf numFmtId="9" fontId="7" fillId="3" borderId="47" xfId="2" applyFont="1" applyFill="1" applyBorder="1" applyAlignment="1">
      <alignment horizontal="center"/>
    </xf>
    <xf numFmtId="10" fontId="7" fillId="3" borderId="37" xfId="2" applyNumberFormat="1" applyFont="1" applyFill="1" applyBorder="1" applyAlignment="1">
      <alignment horizontal="center"/>
    </xf>
    <xf numFmtId="10" fontId="7" fillId="3" borderId="32" xfId="2" applyNumberFormat="1" applyFont="1" applyFill="1" applyBorder="1" applyAlignment="1">
      <alignment horizontal="center"/>
    </xf>
    <xf numFmtId="10" fontId="7" fillId="3" borderId="47" xfId="2" applyNumberFormat="1" applyFont="1" applyFill="1" applyBorder="1" applyAlignment="1">
      <alignment horizontal="center"/>
    </xf>
    <xf numFmtId="10" fontId="7" fillId="0" borderId="37" xfId="2" applyNumberFormat="1" applyFont="1" applyFill="1" applyBorder="1" applyAlignment="1">
      <alignment horizontal="center"/>
    </xf>
    <xf numFmtId="10" fontId="7" fillId="0" borderId="32" xfId="2" applyNumberFormat="1" applyFont="1" applyFill="1" applyBorder="1" applyAlignment="1">
      <alignment horizontal="center"/>
    </xf>
    <xf numFmtId="10" fontId="7" fillId="0" borderId="34" xfId="2" applyNumberFormat="1"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35" xfId="0" applyFont="1" applyFill="1" applyBorder="1" applyAlignment="1">
      <alignment horizontal="center"/>
    </xf>
    <xf numFmtId="9" fontId="7" fillId="3" borderId="25" xfId="2" applyFont="1" applyFill="1" applyBorder="1" applyAlignment="1">
      <alignment horizontal="center"/>
    </xf>
    <xf numFmtId="9" fontId="7" fillId="3" borderId="28" xfId="2" applyFont="1" applyFill="1" applyBorder="1" applyAlignment="1">
      <alignment horizontal="center"/>
    </xf>
    <xf numFmtId="9" fontId="7" fillId="3" borderId="44" xfId="2" applyFont="1" applyFill="1" applyBorder="1" applyAlignment="1">
      <alignment horizontal="center"/>
    </xf>
    <xf numFmtId="10" fontId="7" fillId="3" borderId="25" xfId="2" applyNumberFormat="1" applyFont="1" applyFill="1" applyBorder="1" applyAlignment="1">
      <alignment horizontal="center"/>
    </xf>
    <xf numFmtId="10" fontId="7" fillId="3" borderId="28" xfId="2" applyNumberFormat="1" applyFont="1" applyFill="1" applyBorder="1" applyAlignment="1">
      <alignment horizontal="center"/>
    </xf>
    <xf numFmtId="10" fontId="7" fillId="3" borderId="44" xfId="2" applyNumberFormat="1" applyFont="1" applyFill="1" applyBorder="1" applyAlignment="1">
      <alignment horizontal="center"/>
    </xf>
    <xf numFmtId="10" fontId="7" fillId="0" borderId="25" xfId="2" applyNumberFormat="1" applyFont="1" applyFill="1" applyBorder="1" applyAlignment="1">
      <alignment horizontal="center"/>
    </xf>
    <xf numFmtId="10" fontId="7" fillId="0" borderId="28" xfId="2" applyNumberFormat="1" applyFont="1" applyFill="1" applyBorder="1" applyAlignment="1">
      <alignment horizontal="center"/>
    </xf>
    <xf numFmtId="10" fontId="7" fillId="0" borderId="36" xfId="2" applyNumberFormat="1" applyFont="1" applyFill="1" applyBorder="1" applyAlignment="1">
      <alignment horizontal="center"/>
    </xf>
    <xf numFmtId="0" fontId="6" fillId="3" borderId="25" xfId="0" applyFont="1" applyFill="1" applyBorder="1" applyAlignment="1">
      <alignment horizontal="center"/>
    </xf>
    <xf numFmtId="0" fontId="6" fillId="3" borderId="28" xfId="0" applyFont="1" applyFill="1" applyBorder="1" applyAlignment="1">
      <alignment horizontal="center"/>
    </xf>
    <xf numFmtId="0" fontId="6" fillId="3" borderId="44" xfId="0" applyFont="1" applyFill="1" applyBorder="1" applyAlignment="1">
      <alignment horizontal="center"/>
    </xf>
    <xf numFmtId="2" fontId="7" fillId="3" borderId="25" xfId="0" applyNumberFormat="1" applyFont="1" applyFill="1" applyBorder="1" applyAlignment="1">
      <alignment horizontal="center"/>
    </xf>
    <xf numFmtId="2" fontId="7" fillId="3" borderId="28" xfId="0" applyNumberFormat="1" applyFont="1" applyFill="1" applyBorder="1" applyAlignment="1">
      <alignment horizontal="center"/>
    </xf>
    <xf numFmtId="2" fontId="7" fillId="3" borderId="36" xfId="0" applyNumberFormat="1" applyFont="1" applyFill="1" applyBorder="1" applyAlignment="1">
      <alignment horizontal="center"/>
    </xf>
    <xf numFmtId="10" fontId="7" fillId="3" borderId="36" xfId="2" applyNumberFormat="1" applyFont="1" applyFill="1" applyBorder="1" applyAlignment="1">
      <alignment horizontal="center"/>
    </xf>
    <xf numFmtId="9" fontId="6" fillId="3" borderId="25" xfId="0" applyNumberFormat="1" applyFont="1" applyFill="1" applyBorder="1" applyAlignment="1">
      <alignment horizontal="center"/>
    </xf>
    <xf numFmtId="10" fontId="7" fillId="3" borderId="25" xfId="0" applyNumberFormat="1" applyFont="1" applyFill="1" applyBorder="1" applyAlignment="1">
      <alignment horizontal="center"/>
    </xf>
    <xf numFmtId="0" fontId="7" fillId="3" borderId="28" xfId="0" applyFont="1" applyFill="1" applyBorder="1" applyAlignment="1">
      <alignment horizontal="center"/>
    </xf>
    <xf numFmtId="0" fontId="7" fillId="3" borderId="36" xfId="0" applyFont="1" applyFill="1" applyBorder="1" applyAlignment="1">
      <alignment horizontal="center"/>
    </xf>
    <xf numFmtId="10" fontId="7" fillId="3" borderId="28" xfId="0" applyNumberFormat="1" applyFont="1" applyFill="1" applyBorder="1" applyAlignment="1">
      <alignment horizontal="center"/>
    </xf>
    <xf numFmtId="10" fontId="7" fillId="3" borderId="36" xfId="0" applyNumberFormat="1" applyFont="1" applyFill="1" applyBorder="1" applyAlignment="1">
      <alignment horizontal="center"/>
    </xf>
    <xf numFmtId="164" fontId="7" fillId="3" borderId="31" xfId="1" applyNumberFormat="1" applyFont="1" applyFill="1" applyBorder="1" applyAlignment="1">
      <alignment horizontal="right"/>
    </xf>
    <xf numFmtId="164" fontId="7" fillId="3" borderId="18" xfId="1" applyNumberFormat="1" applyFont="1" applyFill="1" applyBorder="1" applyAlignment="1">
      <alignment horizontal="right"/>
    </xf>
    <xf numFmtId="164" fontId="7" fillId="3" borderId="42" xfId="1" applyNumberFormat="1" applyFont="1" applyFill="1" applyBorder="1" applyAlignment="1">
      <alignment horizontal="right"/>
    </xf>
    <xf numFmtId="164" fontId="7" fillId="3" borderId="7" xfId="1" applyNumberFormat="1" applyFont="1" applyFill="1" applyBorder="1" applyAlignment="1">
      <alignment horizontal="right"/>
    </xf>
    <xf numFmtId="164" fontId="7" fillId="3" borderId="43" xfId="1" applyNumberFormat="1" applyFont="1" applyFill="1" applyBorder="1" applyAlignment="1">
      <alignment horizontal="right"/>
    </xf>
    <xf numFmtId="164" fontId="7" fillId="3" borderId="8" xfId="1" applyNumberFormat="1" applyFont="1" applyFill="1" applyBorder="1" applyAlignment="1">
      <alignment horizontal="right"/>
    </xf>
    <xf numFmtId="0" fontId="2" fillId="4" borderId="36" xfId="0" applyFont="1" applyFill="1" applyBorder="1" applyAlignment="1">
      <alignment horizontal="center"/>
    </xf>
    <xf numFmtId="164" fontId="7" fillId="3" borderId="40" xfId="1" applyNumberFormat="1" applyFont="1" applyFill="1" applyBorder="1" applyAlignment="1">
      <alignment horizontal="right"/>
    </xf>
    <xf numFmtId="164" fontId="7" fillId="3" borderId="0" xfId="1" applyNumberFormat="1" applyFont="1" applyFill="1" applyBorder="1" applyAlignment="1">
      <alignment horizontal="right"/>
    </xf>
    <xf numFmtId="164" fontId="7" fillId="3" borderId="27" xfId="1" applyNumberFormat="1" applyFont="1" applyFill="1" applyBorder="1" applyAlignment="1">
      <alignment horizontal="right"/>
    </xf>
    <xf numFmtId="164" fontId="7" fillId="3" borderId="19" xfId="1" applyNumberFormat="1" applyFont="1" applyFill="1" applyBorder="1" applyAlignment="1">
      <alignment horizontal="right"/>
    </xf>
    <xf numFmtId="164" fontId="7" fillId="3" borderId="24" xfId="1" applyNumberFormat="1" applyFont="1" applyFill="1" applyBorder="1" applyAlignment="1">
      <alignment horizontal="right"/>
    </xf>
    <xf numFmtId="164" fontId="7" fillId="3" borderId="29" xfId="1" applyNumberFormat="1" applyFont="1" applyFill="1" applyBorder="1" applyAlignment="1">
      <alignment horizontal="right"/>
    </xf>
    <xf numFmtId="0" fontId="2" fillId="6" borderId="17" xfId="0" applyFont="1" applyFill="1" applyBorder="1" applyAlignment="1">
      <alignment horizontal="center"/>
    </xf>
    <xf numFmtId="164" fontId="7" fillId="3" borderId="32" xfId="1" applyNumberFormat="1" applyFont="1" applyFill="1" applyBorder="1" applyAlignment="1">
      <alignment horizontal="right"/>
    </xf>
    <xf numFmtId="164" fontId="7" fillId="3" borderId="34" xfId="1" applyNumberFormat="1" applyFont="1" applyFill="1" applyBorder="1" applyAlignment="1">
      <alignment horizontal="right"/>
    </xf>
    <xf numFmtId="164" fontId="7" fillId="0" borderId="25" xfId="1" applyNumberFormat="1" applyFont="1" applyFill="1" applyBorder="1" applyAlignment="1">
      <alignment horizontal="right"/>
    </xf>
    <xf numFmtId="164" fontId="7" fillId="0" borderId="28" xfId="1" applyNumberFormat="1" applyFont="1" applyFill="1" applyBorder="1" applyAlignment="1">
      <alignment horizontal="right"/>
    </xf>
    <xf numFmtId="164" fontId="7" fillId="0" borderId="36" xfId="1" applyNumberFormat="1" applyFont="1" applyFill="1" applyBorder="1" applyAlignment="1">
      <alignment horizontal="right"/>
    </xf>
    <xf numFmtId="164" fontId="7" fillId="3" borderId="36" xfId="1" applyNumberFormat="1" applyFont="1" applyFill="1" applyBorder="1" applyAlignment="1">
      <alignment horizontal="right"/>
    </xf>
    <xf numFmtId="164" fontId="7" fillId="0" borderId="40" xfId="1" applyNumberFormat="1" applyFont="1" applyFill="1" applyBorder="1" applyAlignment="1">
      <alignment horizontal="center"/>
    </xf>
    <xf numFmtId="164" fontId="7" fillId="0" borderId="0" xfId="1" applyNumberFormat="1" applyFont="1" applyFill="1" applyBorder="1" applyAlignment="1">
      <alignment horizontal="center"/>
    </xf>
    <xf numFmtId="0" fontId="2" fillId="6" borderId="30" xfId="0" applyFont="1" applyFill="1" applyBorder="1" applyAlignment="1">
      <alignment horizontal="center"/>
    </xf>
    <xf numFmtId="0" fontId="2" fillId="6" borderId="28" xfId="0" applyFont="1" applyFill="1" applyBorder="1" applyAlignment="1">
      <alignment horizontal="center"/>
    </xf>
    <xf numFmtId="0" fontId="2" fillId="6" borderId="36" xfId="0" applyFont="1" applyFill="1" applyBorder="1" applyAlignment="1">
      <alignment horizontal="center"/>
    </xf>
    <xf numFmtId="164" fontId="7" fillId="0" borderId="19" xfId="1" applyNumberFormat="1" applyFont="1" applyFill="1" applyBorder="1" applyAlignment="1">
      <alignment horizontal="right"/>
    </xf>
    <xf numFmtId="164" fontId="7" fillId="0" borderId="29" xfId="1" applyNumberFormat="1" applyFont="1" applyFill="1" applyBorder="1" applyAlignment="1">
      <alignment horizontal="right"/>
    </xf>
    <xf numFmtId="14" fontId="5" fillId="3" borderId="25" xfId="0" applyNumberFormat="1" applyFont="1" applyFill="1" applyBorder="1" applyAlignment="1">
      <alignment horizontal="right" wrapText="1"/>
    </xf>
    <xf numFmtId="14" fontId="5" fillId="3" borderId="28" xfId="0" applyNumberFormat="1" applyFont="1" applyFill="1" applyBorder="1" applyAlignment="1">
      <alignment horizontal="right" wrapText="1"/>
    </xf>
    <xf numFmtId="14" fontId="5" fillId="3" borderId="36" xfId="0" applyNumberFormat="1" applyFont="1" applyFill="1" applyBorder="1" applyAlignment="1">
      <alignment horizontal="right" wrapText="1"/>
    </xf>
    <xf numFmtId="0" fontId="0" fillId="3" borderId="21" xfId="0" applyFill="1" applyBorder="1" applyAlignment="1">
      <alignment horizontal="right"/>
    </xf>
    <xf numFmtId="0" fontId="0" fillId="3" borderId="22" xfId="0" applyFill="1" applyBorder="1" applyAlignment="1">
      <alignment horizontal="right"/>
    </xf>
    <xf numFmtId="0" fontId="0" fillId="3" borderId="38" xfId="0" applyFill="1" applyBorder="1" applyAlignment="1">
      <alignment horizontal="right"/>
    </xf>
    <xf numFmtId="0" fontId="0" fillId="3" borderId="51" xfId="0" applyFill="1" applyBorder="1" applyAlignment="1">
      <alignment horizontal="right"/>
    </xf>
    <xf numFmtId="164" fontId="5" fillId="3" borderId="21" xfId="1" applyNumberFormat="1" applyFont="1" applyFill="1" applyBorder="1" applyAlignment="1">
      <alignment horizontal="right" wrapText="1"/>
    </xf>
    <xf numFmtId="164" fontId="5" fillId="3" borderId="22" xfId="1" applyNumberFormat="1" applyFont="1" applyFill="1" applyBorder="1" applyAlignment="1">
      <alignment horizontal="right" wrapText="1"/>
    </xf>
    <xf numFmtId="14" fontId="5" fillId="0" borderId="21" xfId="0" applyNumberFormat="1" applyFont="1" applyBorder="1" applyAlignment="1">
      <alignment horizontal="right" wrapText="1"/>
    </xf>
    <xf numFmtId="14" fontId="5" fillId="0" borderId="22" xfId="0" applyNumberFormat="1" applyFont="1" applyBorder="1" applyAlignment="1">
      <alignment horizontal="right" wrapText="1"/>
    </xf>
    <xf numFmtId="165" fontId="5" fillId="3" borderId="21" xfId="0" applyNumberFormat="1" applyFont="1" applyFill="1" applyBorder="1" applyAlignment="1">
      <alignment horizontal="right" wrapText="1"/>
    </xf>
    <xf numFmtId="165" fontId="5" fillId="3" borderId="22" xfId="0" applyNumberFormat="1" applyFont="1" applyFill="1" applyBorder="1" applyAlignment="1">
      <alignment horizontal="right" wrapText="1"/>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14" fontId="5" fillId="0" borderId="15" xfId="0" applyNumberFormat="1" applyFont="1" applyBorder="1" applyAlignment="1">
      <alignment horizontal="right" wrapText="1"/>
    </xf>
    <xf numFmtId="14" fontId="5" fillId="0" borderId="16" xfId="0" applyNumberFormat="1" applyFont="1" applyBorder="1" applyAlignment="1">
      <alignment horizontal="right" wrapText="1"/>
    </xf>
    <xf numFmtId="0" fontId="2" fillId="4" borderId="41" xfId="0" applyFont="1" applyFill="1" applyBorder="1" applyAlignment="1">
      <alignment horizontal="left" vertical="center"/>
    </xf>
    <xf numFmtId="0" fontId="7" fillId="0" borderId="27" xfId="0" applyFont="1" applyBorder="1" applyAlignment="1">
      <alignment horizontal="center"/>
    </xf>
    <xf numFmtId="0" fontId="7" fillId="0" borderId="38"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unning, Nicholas NCM" id="{796C53E5-BA7C-4EF7-8A19-02D91C5335C0}" userId="S::Nicholas.Gunning@standardbank.co.za::f2009c57-e3a6-4270-8684-6331fd819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0-07-10T12:15:10.58" personId="{796C53E5-BA7C-4EF7-8A19-02D91C5335C0}" id="{2198C07E-363F-45EA-AFA0-B2D384ED5E5D}">
    <text>1.141.13	Administrator Report Date means the fifteenth twelfth day after each Determination Date, or if any such day is not a Business Day, then the immediately succeeding day that is a Business Day;</text>
  </threadedComment>
  <threadedComment ref="C9" dT="2020-07-10T12:16:41.19" personId="{796C53E5-BA7C-4EF7-8A19-02D91C5335C0}" id="{CE7CB370-DD34-411D-8FFD-5C07311A98CD}">
    <text>1.1021.100	Determination Date means the last Business Day of [December, March, June and September], save for the first Determination Date which will be the date specified in the APS;</text>
  </threadedComment>
  <threadedComment ref="C12" dT="2020-07-10T12:17:28.82" personId="{796C53E5-BA7C-4EF7-8A19-02D91C5335C0}" id="{096998C6-4881-4787-8E18-A325ED996B55}">
    <text>1.751.73	Collection Period means each period beginning on (and excluding) a Determination Date and ending on (and including) the immediately following Determination Date, provided that the first Collection Period shall begin on (and include) the Initial Issue Date;</text>
  </threadedComment>
  <threadedComment ref="C67" dT="2020-07-10T12:19:25.59" personId="{796C53E5-BA7C-4EF7-8A19-02D91C5335C0}" id="{0971E08A-D83C-49E8-8367-D379FDBF3D43}">
    <text>1.2591.251	Repayments means repayments of principal received under a Loan Agreement, being scheduled instalments received, less interest owing during the immediately preceding interest period in terms of the Loan Agreement;</text>
  </threadedComment>
  <threadedComment ref="C68" dT="2020-07-10T12:20:03.96" personId="{796C53E5-BA7C-4EF7-8A19-02D91C5335C0}" id="{F3E417E8-7B3B-44DC-94C6-8DCFF92669F8}">
    <text>1.2201.211	Prepayments means principal repayments received under a Loan Agreement in excess of the minimum Instalments which a Borrower is obliged to pay;</text>
  </threadedComment>
  <threadedComment ref="C72" dT="2020-07-10T12:32:40.90" personId="{796C53E5-BA7C-4EF7-8A19-02D91C5335C0}" id="{DF3CB45C-8C99-4B3E-AFFC-104FA0DA2190}">
    <text>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ext>
  </threadedComment>
  <threadedComment ref="C83" dT="2020-07-10T12:14:24.90" personId="{796C53E5-BA7C-4EF7-8A19-02D91C5335C0}" id="{2B1A9D18-E41F-4D11-BDF6-0B387D4D4ABD}">
    <text>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ext>
  </threadedComment>
  <threadedComment ref="C102" dT="2020-07-03T14:38:14.35" personId="{796C53E5-BA7C-4EF7-8A19-02D91C5335C0}" id="{E602A622-0A28-4599-8D7F-EE59856E0C93}">
    <text>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ext>
  </threadedComment>
  <threadedComment ref="C113" dT="2020-07-03T14:39:03.59" personId="{796C53E5-BA7C-4EF7-8A19-02D91C5335C0}" id="{543E9152-DACE-40F4-AEA8-526EEEB25831}">
    <text>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ext>
  </threadedComment>
  <threadedComment ref="C117" dT="2020-07-03T14:39:59.73" personId="{796C53E5-BA7C-4EF7-8A19-02D91C5335C0}" id="{5E28F66D-7F82-4534-B9B1-0203787DD3F1}">
    <text>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ext>
  </threadedComment>
  <threadedComment ref="C118" dT="2020-07-03T14:40:20.29" personId="{796C53E5-BA7C-4EF7-8A19-02D91C5335C0}" id="{7FB9B67A-7693-4944-A782-D5BCAAA0BCAC}">
    <text>1.681.67	Class C Interest Deferral Event means the first occurrence on which there are Class B Notes outstanding and where there is a Principal Deficiency on the immediately preceding Interest Payment Date after the application of funds in accordance with the Priority of Payments;</text>
  </threadedComment>
  <threadedComment ref="C124" dT="2020-07-06T07:36:37.57" personId="{796C53E5-BA7C-4EF7-8A19-02D91C5335C0}" id="{B73442BF-4AAE-49DB-A7C4-547A5F7FC39A}">
    <text>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ext>
  </threadedComment>
  <threadedComment ref="C133" dT="2020-07-06T07:42:12.02" personId="{796C53E5-BA7C-4EF7-8A19-02D91C5335C0}" id="{CF0B79B5-8114-4A0E-B896-117E51CEF7A3}">
    <text>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ext>
  </threadedComment>
  <threadedComment ref="C135" dT="2020-07-06T07:42:23.74" personId="{796C53E5-BA7C-4EF7-8A19-02D91C5335C0}" id="{F7F95922-E6F8-412B-A944-B3314FF62981}">
    <text>1.701.69	Class C Principal Lock-Out shall occur on any Interest Payment Date on which, if prior to the allocation of the Redemption Amount in accordance with the Priority of Payments, there are Class B Notes outstanding;</text>
  </threadedComment>
  <threadedComment ref="C139" dT="2020-07-01T09:26:37.19" personId="{796C53E5-BA7C-4EF7-8A19-02D91C5335C0}" id="{30B5D40E-C769-4CC9-9551-DFE33D804906}">
    <text>1.1	first, to pay or provide for the Issuer’s liability or potential liability for Tax;</text>
  </threadedComment>
  <threadedComment ref="C140" dT="2020-07-01T09:26:57.34" personId="{796C53E5-BA7C-4EF7-8A19-02D91C5335C0}" id="{E8CF253A-3B29-4DCB-B5C7-92C5D27ADF99}">
    <text>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ext>
  </threadedComment>
  <threadedComment ref="C143" dT="2020-07-01T09:27:14.39" personId="{796C53E5-BA7C-4EF7-8A19-02D91C5335C0}" id="{4EF0B2C5-588D-4525-97BC-8B12E9C1D3D8}">
    <text>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ext>
  </threadedComment>
  <threadedComment ref="C146" dT="2020-07-01T09:27:31.91" personId="{796C53E5-BA7C-4EF7-8A19-02D91C5335C0}" id="{AE3051BB-33C1-411B-8FC6-9AEB00620035}">
    <text>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ext>
  </threadedComment>
  <threadedComment ref="C150" dT="2020-07-01T09:28:08.22" personId="{796C53E5-BA7C-4EF7-8A19-02D91C5335C0}" id="{6DE50D12-826F-48AE-86EB-767545F7DCE9}">
    <text>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ext>
  </threadedComment>
  <threadedComment ref="C151" dT="2020-07-01T09:28:21.98" personId="{796C53E5-BA7C-4EF7-8A19-02D91C5335C0}" id="{7F2DAEA1-E89D-481E-9E3C-BFC0B6A56108}">
    <text>1.6	sixth, to pay all amounts due and payable under the Liquidity Facility other than in respect of principal;</text>
  </threadedComment>
  <threadedComment ref="C152" dT="2020-07-01T09:28:38.95" personId="{796C53E5-BA7C-4EF7-8A19-02D91C5335C0}" id="{4A711656-5576-4761-B05C-7258BFF9F599}">
    <text>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ext>
  </threadedComment>
  <threadedComment ref="C156" dT="2020-07-01T09:28:53.80" personId="{796C53E5-BA7C-4EF7-8A19-02D91C5335C0}" id="{E71882E1-EDED-45B5-B0AE-FA945CD99904}">
    <text>1.8	eighth, subject to a Class B Interest Deferral Event not having occurred on or prior to that Interest Payment Date, to pay or provide for all amounts due and payable in respect of the Class B Notes other than in respect of principal on the Class B Notes;</text>
  </threadedComment>
  <threadedComment ref="C157" dT="2020-07-01T09:29:09.23" personId="{796C53E5-BA7C-4EF7-8A19-02D91C5335C0}" id="{EE11A09C-D140-48FD-BEF6-446B09AF87A7}">
    <text>1.9	ninth, in the event only that a substitute Servicer assumes the role of Servicer, to pay or provide the Subordinated Servicing Fee, if any (inclusive of VAT, if any) due and payable to the substitute Servicer on such Interest Payment Date;</text>
  </threadedComment>
  <threadedComment ref="C158" dT="2020-07-01T09:29:24.56" personId="{796C53E5-BA7C-4EF7-8A19-02D91C5335C0}" id="{4BB103A7-C12A-46C2-A4F3-EF62DD3A5143}">
    <text>1.10	tenth, subject to a Class C Interest Deferral Event not having occurred on or prior to that Interest Payment Date, to pay or to provide for all amounts due and payable in respect of the Class C Notes other than in respect of principal on the Class C Notes;</text>
  </threadedComment>
  <threadedComment ref="C159" dT="2020-07-01T09:29:39.12" personId="{796C53E5-BA7C-4EF7-8A19-02D91C5335C0}" id="{76DA3512-035E-4D51-BCA6-0B78CAFCC8CE}">
    <text>1.11	eleventh, to repay all principal amounts outstanding under the Liquidity Facility as at the immediately preceding Determination Date up to an amount equal to the Potential Redemption Amount;</text>
  </threadedComment>
  <threadedComment ref="C160" dT="2020-07-01T09:30:54.67" personId="{796C53E5-BA7C-4EF7-8A19-02D91C5335C0}" id="{D8E24E90-1C71-4F59-B68C-6A2F96AED2A2}">
    <text>1.12	twelfth, provided that a Stop-Lending Trigger Event has not occurred, to fund the advance by the Issuer of Redraws and Re-Advances up to an amount equal to the Potential Redemption Amount less the sum of the amounts applied under item 1.11 above;</text>
  </threadedComment>
  <threadedComment ref="C161" dT="2020-07-01T09:32:55.52" personId="{796C53E5-BA7C-4EF7-8A19-02D91C5335C0}" id="{8915FF90-9447-4886-A376-8FA744DEE1AF}">
    <text>1.13	thirteenth, provided that a Stop-Lending Trigger Event has not occurred, to fund the advance by the Issuer of Further Advances and, during the Revolving Period only, to fund the purchase by the Issuer of Additional Assets, equal to the greater of zero and up to the lower of:</text>
  </threadedComment>
  <threadedComment ref="C162" dT="2020-07-01T10:02:56.38" personId="{796C53E5-BA7C-4EF7-8A19-02D91C5335C0}" id="{3B3014CA-6FA6-4C7D-82B3-F025E4CC9439}">
    <text>1.15	fifteenth, if there are Class A Notes outstanding on such Interest Payment Date, to allocate an amount to be applied in redeeming the Notes (in the manner set out in paragraph 3 below) equal to the greater of zero and the Potential Redemption Amount less the sum of the amounts applied under items 1.11 to 1.14 above;
3.	The amount allocated for redemption of the Notes under items 1.15 of the Pre-Enforcement Priority of Payments will be divided into the Class A Redemption Amount, the Class B Redemption Amount and the Class C Redemption Amount. The Class A Redemption Amount will be allocated firstly to the Class A1 Notes and then pro rata to the Class A2 Notes and the Class A3 Notes provided that no amount shall be allocated to the Class A3 Notes if a Class A Principal Lock Out in respect of the Class A3 Notes applies.</text>
  </threadedComment>
  <threadedComment ref="C169" dT="2020-07-01T10:03:22.01" personId="{796C53E5-BA7C-4EF7-8A19-02D91C5335C0}" id="{8CCAE6B2-AE0E-4885-947C-FA34D9DB54CD}">
    <text>1.16	sixteenth, to credit the Arrears Reserve up to the Arrears Reserve Required Amount;</text>
  </threadedComment>
  <threadedComment ref="C170" dT="2020-07-01T10:05:05.09" personId="{796C53E5-BA7C-4EF7-8A19-02D91C5335C0}" id="{FFC2379A-E090-46D8-94E4-F98CFB11B04F}">
    <text>1.17	seventeenth, if a Class B Interest Deferral Event has occurred on or prior to such Interest Payment Date, to pay interest due and payable in respect of the Class B Notes;</text>
  </threadedComment>
  <threadedComment ref="C171" dT="2020-07-01T12:04:10.91" personId="{796C53E5-BA7C-4EF7-8A19-02D91C5335C0}" id="{B29D4692-1266-4063-B1AB-4B0C062F82E5}">
    <text>1.18	eighteenth, if there are no Class A Notes outstanding on such Interest Payment Date, to allocate an amount to be applied in redeeming the remaining Notes (in the manner set out in paragraph 4 below) equal to the greater of zero and the Potential Redemption Amount less the sum of the amounts applied under items 1.11 to 1.15 above;
4.	The amount allocated for redemption of the Notes under item 1.18 of the Pre-Enforcement Priority of Payments will be divided into the Class B Redemption Amount and the Class C Redemption Amount.</text>
  </threadedComment>
  <threadedComment ref="C174" dT="2020-07-01T10:03:22.01" personId="{796C53E5-BA7C-4EF7-8A19-02D91C5335C0}" id="{499BDA6B-50A1-48EF-ADC4-7009B8F017F1}">
    <text>1.16	sixteenth, to credit the Arrears Reserve up to the Arrears Reserve Required Amount;</text>
  </threadedComment>
  <threadedComment ref="C175" dT="2020-07-01T12:05:33.95" personId="{796C53E5-BA7C-4EF7-8A19-02D91C5335C0}" id="{1B10D766-4AAE-4390-A3E6-B3B803186CC3}">
    <text>1.19	nineteenth, if a Class C Interest Deferral Event has occurred on or prior to such Interest Payment Date, to pay interest due and payable in respect of the Class C Notes;</text>
  </threadedComment>
  <threadedComment ref="C176" dT="2020-07-01T12:06:45.00" personId="{796C53E5-BA7C-4EF7-8A19-02D91C5335C0}" id="{B08F99F5-A5D9-4827-A24F-0B439EE20CDF}">
    <text>1.20	twentieth, if there are no Class B Notes outstanding on such Interest Payment Date, to allocate an amount to be applied in redeeming the Class C Notes (in the manner set out in paragraph 5 below) equal to the greater of zero and the Potential Redemption Amount less the sum of the amounts applied under items 1.11 to 1.15 and 1.18 above;
5.	The amount allocated for redemption of the Notes under item 1.20 of the Pre-Enforcement Priority of Payments will be allocated in full to the Class C Redemption Amount.</text>
  </threadedComment>
  <threadedComment ref="C178" dT="2020-07-01T12:08:33.83" personId="{796C53E5-BA7C-4EF7-8A19-02D91C5335C0}" id="{B5964D72-467E-4B99-AF61-F2507097C0B5}">
    <text>1.21	twenty-first, to pay or provide for pari passu and pro rata the Derivative Termination Amounts due and payable to any Derivative Counterparty under the Derivative Contracts where the Derivative Counterparty is in default;</text>
  </threadedComment>
  <threadedComment ref="C179" dT="2020-07-01T12:32:50.70" personId="{796C53E5-BA7C-4EF7-8A19-02D91C5335C0}" id="{075E0EE1-3F4B-4F87-A971-969855923484}">
    <text>1.22	twenty-second,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theat Latest Coupon Step-Up Date;</text>
  </threadedComment>
  <threadedComment ref="C180" dT="2020-07-01T12:33:36.96" personId="{796C53E5-BA7C-4EF7-8A19-02D91C5335C0}" id="{2576D12E-F45D-4FFC-BD1B-ED4DFE666D1A}">
    <text>1.23	twenty-third, provided that the Subordinated Servicing Fee was not paid or provided for under item 1.9 above, to pay the Subordinated Servicing Fee due and payable to the Servicer on each Interest Payment Date, if any (inclusive of VAT, if any); provided that there is no Principal Deficiency on such Interest Payment Date and no Event of Default;</text>
  </threadedComment>
  <threadedComment ref="C181" dT="2020-07-01T12:52:53.39" personId="{796C53E5-BA7C-4EF7-8A19-02D91C5335C0}" id="{1F170452-B3F4-4B93-A0DE-8CC58EBFC9E2}">
    <text>1.24	twenty-forth, to pay amounts due and payable in respect of the Subordinated Loan;</text>
  </threadedComment>
  <threadedComment ref="C185" dT="2020-07-01T12:53:16.85" personId="{796C53E5-BA7C-4EF7-8A19-02D91C5335C0}" id="{90EC91CE-F987-48CA-81B1-BB4EE9B910B5}">
    <text>1.25	twenty-fifth, to pay or provide for the dividend due and payable to the Preference Shareholder, net of Taxes; and</text>
  </threadedComment>
  <threadedComment ref="C186" dT="2020-07-01T12:53:33.02" personId="{796C53E5-BA7C-4EF7-8A19-02D91C5335C0}" id="{082A9997-9BC0-4595-BB4C-E41836258B3E}">
    <text>1.26	twenty-sixth,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003ED-5E56-46B4-AC58-80FCA169BFCE}">
  <dimension ref="A1:XFD242"/>
  <sheetViews>
    <sheetView showGridLines="0" tabSelected="1" view="pageBreakPreview" topLeftCell="J28" zoomScale="85" zoomScaleNormal="80" zoomScaleSheetLayoutView="85" workbookViewId="0">
      <selection activeCell="P39" sqref="P39"/>
    </sheetView>
  </sheetViews>
  <sheetFormatPr defaultColWidth="9.33203125" defaultRowHeight="14.4"/>
  <cols>
    <col min="1" max="1" width="9.33203125" style="1"/>
    <col min="2" max="2" width="3.44140625" style="1" customWidth="1"/>
    <col min="3" max="3" width="39.33203125" style="1" customWidth="1"/>
    <col min="4" max="4" width="11.6640625" style="1" bestFit="1" customWidth="1"/>
    <col min="5" max="5" width="11.44140625" style="1" customWidth="1"/>
    <col min="6" max="6" width="9.33203125" style="1"/>
    <col min="7" max="7" width="15.44140625" style="1" customWidth="1"/>
    <col min="8" max="8" width="16" style="1" customWidth="1"/>
    <col min="9" max="10" width="16.33203125" style="1" customWidth="1"/>
    <col min="11" max="15" width="18.33203125" style="1" customWidth="1"/>
    <col min="16" max="18" width="15.6640625" style="1" customWidth="1"/>
    <col min="19" max="19" width="17.6640625" style="1" bestFit="1" customWidth="1"/>
    <col min="20" max="21" width="17.6640625" style="1" customWidth="1"/>
    <col min="22" max="22" width="17.33203125" style="1" customWidth="1"/>
    <col min="23" max="23" width="14.5546875" style="1" bestFit="1" customWidth="1"/>
    <col min="24" max="24" width="2.5546875" style="1" customWidth="1"/>
    <col min="25" max="25" width="17.33203125" style="1" bestFit="1" customWidth="1"/>
    <col min="26" max="26" width="33.33203125" style="1" bestFit="1" customWidth="1"/>
    <col min="27" max="27" width="16.33203125" style="1" bestFit="1" customWidth="1"/>
    <col min="28" max="28" width="15.33203125" style="1" bestFit="1" customWidth="1"/>
    <col min="29" max="29" width="17.6640625" style="1" bestFit="1" customWidth="1"/>
    <col min="30" max="30" width="13.44140625" style="1" bestFit="1" customWidth="1"/>
    <col min="31" max="32" width="17.33203125" style="1" bestFit="1" customWidth="1"/>
    <col min="33" max="36" width="9.33203125" style="1"/>
    <col min="37" max="37" width="13.6640625" style="1" bestFit="1" customWidth="1"/>
    <col min="38" max="41" width="9.33203125" style="1"/>
    <col min="42" max="42" width="13.44140625" style="1" bestFit="1" customWidth="1"/>
    <col min="43" max="16383" width="9.33203125" style="1"/>
    <col min="16384" max="16384" width="11.6640625" style="1" bestFit="1" customWidth="1"/>
  </cols>
  <sheetData>
    <row r="1" spans="1:24 16384:16384" ht="15" thickBot="1">
      <c r="A1" s="1">
        <v>1</v>
      </c>
      <c r="B1"/>
      <c r="C1"/>
      <c r="D1"/>
      <c r="E1"/>
      <c r="F1"/>
      <c r="G1"/>
      <c r="H1"/>
      <c r="I1"/>
      <c r="J1"/>
      <c r="K1"/>
      <c r="L1"/>
      <c r="M1"/>
      <c r="N1"/>
      <c r="O1"/>
      <c r="P1"/>
      <c r="Q1"/>
      <c r="R1"/>
      <c r="S1"/>
      <c r="T1"/>
      <c r="U1"/>
      <c r="V1"/>
      <c r="W1"/>
      <c r="X1" s="2"/>
      <c r="XFD1"/>
    </row>
    <row r="2" spans="1:24 16384:16384" ht="15" thickBot="1">
      <c r="B2" s="3"/>
      <c r="C2" s="4"/>
      <c r="D2" s="4"/>
      <c r="E2" s="4"/>
      <c r="F2" s="4"/>
      <c r="G2" s="4"/>
      <c r="H2" s="4"/>
      <c r="I2" s="4"/>
      <c r="J2" s="4"/>
      <c r="K2" s="4"/>
      <c r="L2" s="4"/>
      <c r="M2" s="4"/>
      <c r="N2" s="4"/>
      <c r="O2" s="4"/>
      <c r="P2" s="4"/>
      <c r="Q2" s="4"/>
      <c r="R2" s="4"/>
      <c r="S2" s="4"/>
      <c r="T2" s="4"/>
      <c r="U2" s="4"/>
      <c r="V2" s="4"/>
      <c r="W2" s="5"/>
      <c r="X2" s="2"/>
      <c r="XFD2" s="6"/>
    </row>
    <row r="3" spans="1:24 16384:16384" ht="20.25" customHeight="1">
      <c r="B3" s="7"/>
      <c r="C3" s="470" t="s">
        <v>0</v>
      </c>
      <c r="D3" s="471"/>
      <c r="E3" s="471"/>
      <c r="F3" s="471"/>
      <c r="G3" s="471"/>
      <c r="H3" s="471"/>
      <c r="I3" s="471"/>
      <c r="J3" s="471"/>
      <c r="K3" s="471"/>
      <c r="L3" s="471"/>
      <c r="M3" s="471"/>
      <c r="N3" s="471"/>
      <c r="O3" s="471"/>
      <c r="P3" s="471"/>
      <c r="Q3" s="471"/>
      <c r="R3" s="471"/>
      <c r="S3" s="471"/>
      <c r="T3" s="471"/>
      <c r="U3" s="471"/>
      <c r="V3" s="471"/>
      <c r="W3" s="472"/>
      <c r="X3" s="2"/>
    </row>
    <row r="4" spans="1:24 16384:16384" ht="20.25" customHeight="1" thickBot="1">
      <c r="B4" s="7"/>
      <c r="C4" s="473"/>
      <c r="D4" s="474"/>
      <c r="E4" s="474"/>
      <c r="F4" s="474"/>
      <c r="G4" s="474"/>
      <c r="H4" s="474"/>
      <c r="I4" s="474"/>
      <c r="J4" s="474"/>
      <c r="K4" s="474"/>
      <c r="L4" s="474"/>
      <c r="M4" s="474"/>
      <c r="N4" s="474"/>
      <c r="O4" s="474"/>
      <c r="P4" s="474"/>
      <c r="Q4" s="474"/>
      <c r="R4" s="474"/>
      <c r="S4" s="474"/>
      <c r="T4" s="474"/>
      <c r="U4" s="474"/>
      <c r="V4" s="474"/>
      <c r="W4" s="475"/>
      <c r="X4" s="2"/>
      <c r="XFD4" s="8"/>
    </row>
    <row r="5" spans="1:24 16384:16384" ht="15" thickBot="1">
      <c r="B5" s="7"/>
      <c r="C5" s="9"/>
      <c r="D5" s="9"/>
      <c r="E5" s="9"/>
      <c r="F5" s="9"/>
      <c r="G5" s="9"/>
      <c r="H5" s="9"/>
      <c r="I5" s="9"/>
      <c r="J5" s="9"/>
      <c r="K5" s="9"/>
      <c r="L5" s="9"/>
      <c r="M5" s="9"/>
      <c r="N5" s="9"/>
      <c r="O5" s="9"/>
      <c r="P5" s="9"/>
      <c r="Q5" s="9"/>
      <c r="R5" s="9"/>
      <c r="S5" s="9"/>
      <c r="T5" s="9"/>
      <c r="U5" s="9"/>
      <c r="V5" s="9"/>
      <c r="W5" s="2"/>
      <c r="X5" s="2"/>
    </row>
    <row r="6" spans="1:24 16384:16384" ht="15" thickBot="1">
      <c r="B6" s="7"/>
      <c r="C6" s="476" t="s">
        <v>1</v>
      </c>
      <c r="D6" s="477"/>
      <c r="E6" s="477"/>
      <c r="F6" s="477"/>
      <c r="G6" s="477"/>
      <c r="H6" s="477"/>
      <c r="I6" s="477"/>
      <c r="J6" s="477"/>
      <c r="K6" s="477"/>
      <c r="L6" s="477"/>
      <c r="M6" s="477"/>
      <c r="N6" s="477"/>
      <c r="O6" s="477"/>
      <c r="P6" s="477"/>
      <c r="Q6" s="477"/>
      <c r="R6" s="477"/>
      <c r="S6" s="477"/>
      <c r="T6" s="477"/>
      <c r="U6" s="477"/>
      <c r="V6" s="477"/>
      <c r="W6" s="478"/>
      <c r="X6" s="2"/>
    </row>
    <row r="7" spans="1:24 16384:16384" ht="15" thickBot="1">
      <c r="B7" s="7"/>
      <c r="C7" s="9"/>
      <c r="D7" s="9"/>
      <c r="E7" s="9"/>
      <c r="F7" s="9"/>
      <c r="G7" s="9"/>
      <c r="H7" s="9"/>
      <c r="I7" s="9"/>
      <c r="J7" s="9"/>
      <c r="K7" s="9"/>
      <c r="L7" s="9"/>
      <c r="M7" s="9"/>
      <c r="N7" s="9"/>
      <c r="O7" s="9"/>
      <c r="P7" s="9"/>
      <c r="Q7" s="9"/>
      <c r="R7" s="9"/>
      <c r="S7" s="9"/>
      <c r="T7" s="9"/>
      <c r="U7" s="9"/>
      <c r="V7" s="9"/>
      <c r="W7" s="2"/>
      <c r="X7" s="2"/>
    </row>
    <row r="8" spans="1:24 16384:16384">
      <c r="B8" s="7"/>
      <c r="C8" s="10" t="s">
        <v>2</v>
      </c>
      <c r="D8" s="11"/>
      <c r="E8" s="11"/>
      <c r="F8" s="11"/>
      <c r="G8" s="11"/>
      <c r="H8" s="11"/>
      <c r="I8" s="11"/>
      <c r="J8" s="11"/>
      <c r="K8" s="479">
        <f>K9+15</f>
        <v>45703</v>
      </c>
      <c r="L8" s="480"/>
      <c r="M8" s="480"/>
      <c r="N8" s="480"/>
      <c r="O8" s="480"/>
      <c r="P8" s="480"/>
      <c r="Q8" s="480"/>
      <c r="R8" s="480"/>
      <c r="S8" s="480"/>
      <c r="T8" s="480"/>
      <c r="U8" s="480"/>
      <c r="V8" s="480"/>
      <c r="W8" s="481"/>
      <c r="X8" s="2"/>
    </row>
    <row r="9" spans="1:24 16384:16384">
      <c r="B9" s="7"/>
      <c r="C9" s="12" t="s">
        <v>3</v>
      </c>
      <c r="D9" s="13"/>
      <c r="E9" s="13"/>
      <c r="F9" s="13"/>
      <c r="G9" s="13"/>
      <c r="H9" s="13"/>
      <c r="I9" s="13"/>
      <c r="J9" s="14"/>
      <c r="K9" s="461">
        <v>45688</v>
      </c>
      <c r="L9" s="462"/>
      <c r="M9" s="462"/>
      <c r="N9" s="462"/>
      <c r="O9" s="462"/>
      <c r="P9" s="462"/>
      <c r="Q9" s="462"/>
      <c r="R9" s="462"/>
      <c r="S9" s="462"/>
      <c r="T9" s="462"/>
      <c r="U9" s="462"/>
      <c r="V9" s="462"/>
      <c r="W9" s="463"/>
      <c r="X9" s="2"/>
    </row>
    <row r="10" spans="1:24 16384:16384">
      <c r="B10" s="7"/>
      <c r="C10" s="464" t="s">
        <v>4</v>
      </c>
      <c r="D10" s="465"/>
      <c r="E10" s="466"/>
      <c r="F10" s="16" t="s">
        <v>5</v>
      </c>
      <c r="G10" s="13"/>
      <c r="H10" s="13"/>
      <c r="I10" s="13"/>
      <c r="J10" s="14"/>
      <c r="K10" s="461">
        <f>'Servicer Report'!J10</f>
        <v>45596</v>
      </c>
      <c r="L10" s="462"/>
      <c r="M10" s="462"/>
      <c r="N10" s="462"/>
      <c r="O10" s="462"/>
      <c r="P10" s="462"/>
      <c r="Q10" s="462"/>
      <c r="R10" s="462"/>
      <c r="S10" s="462"/>
      <c r="T10" s="462"/>
      <c r="U10" s="462"/>
      <c r="V10" s="462"/>
      <c r="W10" s="463"/>
      <c r="X10" s="2"/>
    </row>
    <row r="11" spans="1:24 16384:16384" ht="15" customHeight="1">
      <c r="B11" s="7"/>
      <c r="C11" s="467"/>
      <c r="D11" s="468"/>
      <c r="E11" s="469"/>
      <c r="F11" s="19" t="s">
        <v>6</v>
      </c>
      <c r="G11" s="13"/>
      <c r="H11" s="13"/>
      <c r="I11" s="13"/>
      <c r="J11" s="14"/>
      <c r="K11" s="461">
        <f>'Servicer Report'!J11</f>
        <v>45688</v>
      </c>
      <c r="L11" s="462"/>
      <c r="M11" s="462"/>
      <c r="N11" s="462"/>
      <c r="O11" s="462"/>
      <c r="P11" s="462"/>
      <c r="Q11" s="462"/>
      <c r="R11" s="462"/>
      <c r="S11" s="462"/>
      <c r="T11" s="462"/>
      <c r="U11" s="462"/>
      <c r="V11" s="462"/>
      <c r="W11" s="463"/>
      <c r="X11" s="2"/>
    </row>
    <row r="12" spans="1:24 16384:16384">
      <c r="B12" s="7"/>
      <c r="C12" s="17" t="s">
        <v>7</v>
      </c>
      <c r="D12" s="20"/>
      <c r="E12" s="21"/>
      <c r="F12" s="22"/>
      <c r="G12" s="13"/>
      <c r="H12" s="13"/>
      <c r="I12" s="13"/>
      <c r="J12" s="14"/>
      <c r="K12" s="458">
        <f>K11-K10</f>
        <v>92</v>
      </c>
      <c r="L12" s="459"/>
      <c r="M12" s="459"/>
      <c r="N12" s="459"/>
      <c r="O12" s="459"/>
      <c r="P12" s="459"/>
      <c r="Q12" s="459"/>
      <c r="R12" s="459"/>
      <c r="S12" s="459"/>
      <c r="T12" s="459"/>
      <c r="U12" s="459"/>
      <c r="V12" s="459"/>
      <c r="W12" s="460"/>
      <c r="X12" s="2"/>
    </row>
    <row r="13" spans="1:24 16384:16384">
      <c r="B13" s="7"/>
      <c r="C13" s="23" t="s">
        <v>8</v>
      </c>
      <c r="D13" s="22"/>
      <c r="E13" s="22"/>
      <c r="F13" s="22"/>
      <c r="G13" s="22"/>
      <c r="H13" s="22"/>
      <c r="I13" s="22"/>
      <c r="J13" s="14"/>
      <c r="K13" s="461">
        <f>'Servicer Report'!J17</f>
        <v>45611</v>
      </c>
      <c r="L13" s="462"/>
      <c r="M13" s="462"/>
      <c r="N13" s="462"/>
      <c r="O13" s="462"/>
      <c r="P13" s="462"/>
      <c r="Q13" s="462"/>
      <c r="R13" s="462"/>
      <c r="S13" s="462"/>
      <c r="T13" s="462"/>
      <c r="U13" s="462"/>
      <c r="V13" s="462"/>
      <c r="W13" s="463"/>
      <c r="X13" s="2"/>
    </row>
    <row r="14" spans="1:24 16384:16384">
      <c r="B14" s="7"/>
      <c r="C14" s="464" t="s">
        <v>9</v>
      </c>
      <c r="D14" s="465"/>
      <c r="E14" s="466"/>
      <c r="F14" s="24" t="s">
        <v>10</v>
      </c>
      <c r="G14" s="22"/>
      <c r="H14" s="22"/>
      <c r="I14" s="22"/>
      <c r="J14" s="14"/>
      <c r="K14" s="461">
        <f>'Servicer Report'!J17</f>
        <v>45611</v>
      </c>
      <c r="L14" s="462"/>
      <c r="M14" s="462"/>
      <c r="N14" s="462"/>
      <c r="O14" s="462"/>
      <c r="P14" s="462"/>
      <c r="Q14" s="462"/>
      <c r="R14" s="462"/>
      <c r="S14" s="462"/>
      <c r="T14" s="462"/>
      <c r="U14" s="462"/>
      <c r="V14" s="462"/>
      <c r="W14" s="463"/>
      <c r="X14" s="2"/>
    </row>
    <row r="15" spans="1:24 16384:16384" ht="15" customHeight="1">
      <c r="B15" s="7"/>
      <c r="C15" s="467"/>
      <c r="D15" s="468"/>
      <c r="E15" s="469"/>
      <c r="F15" s="16" t="s">
        <v>11</v>
      </c>
      <c r="G15" s="22"/>
      <c r="H15" s="22"/>
      <c r="I15" s="22"/>
      <c r="J15" s="14"/>
      <c r="K15" s="461">
        <f>'Servicer Report'!J18</f>
        <v>45705</v>
      </c>
      <c r="L15" s="462"/>
      <c r="M15" s="462"/>
      <c r="N15" s="462"/>
      <c r="O15" s="462"/>
      <c r="P15" s="462"/>
      <c r="Q15" s="462"/>
      <c r="R15" s="462"/>
      <c r="S15" s="462"/>
      <c r="T15" s="462"/>
      <c r="U15" s="462"/>
      <c r="V15" s="462"/>
      <c r="W15" s="463"/>
      <c r="X15" s="2"/>
    </row>
    <row r="16" spans="1:24 16384:16384">
      <c r="B16" s="7"/>
      <c r="C16" s="17" t="s">
        <v>12</v>
      </c>
      <c r="D16" s="18"/>
      <c r="E16" s="18"/>
      <c r="F16" s="22"/>
      <c r="G16" s="22"/>
      <c r="H16" s="22"/>
      <c r="I16" s="22"/>
      <c r="J16" s="14"/>
      <c r="K16" s="458">
        <f>K15-K14</f>
        <v>94</v>
      </c>
      <c r="L16" s="459"/>
      <c r="M16" s="459"/>
      <c r="N16" s="459"/>
      <c r="O16" s="459"/>
      <c r="P16" s="459"/>
      <c r="Q16" s="459"/>
      <c r="R16" s="459"/>
      <c r="S16" s="459"/>
      <c r="T16" s="459"/>
      <c r="U16" s="459"/>
      <c r="V16" s="459"/>
      <c r="W16" s="460"/>
      <c r="X16" s="2"/>
    </row>
    <row r="17" spans="2:25">
      <c r="B17" s="7"/>
      <c r="C17" s="25" t="s">
        <v>13</v>
      </c>
      <c r="D17" s="21"/>
      <c r="E17" s="21"/>
      <c r="F17" s="22"/>
      <c r="G17" s="22"/>
      <c r="H17" s="22"/>
      <c r="I17" s="22"/>
      <c r="J17" s="14"/>
      <c r="K17" s="482">
        <f>SUM(G31:W31)</f>
        <v>1804173042</v>
      </c>
      <c r="L17" s="483"/>
      <c r="M17" s="483"/>
      <c r="N17" s="483"/>
      <c r="O17" s="483"/>
      <c r="P17" s="483"/>
      <c r="Q17" s="483"/>
      <c r="R17" s="483"/>
      <c r="S17" s="483"/>
      <c r="T17" s="483"/>
      <c r="U17" s="483"/>
      <c r="V17" s="483"/>
      <c r="W17" s="484"/>
      <c r="X17" s="2"/>
    </row>
    <row r="18" spans="2:25">
      <c r="B18" s="7"/>
      <c r="C18" s="25" t="s">
        <v>14</v>
      </c>
      <c r="D18" s="21"/>
      <c r="E18" s="21"/>
      <c r="F18" s="22"/>
      <c r="G18" s="22"/>
      <c r="H18" s="22"/>
      <c r="I18" s="22"/>
      <c r="J18" s="14"/>
      <c r="K18" s="449">
        <f>SUM(G35:W35)</f>
        <v>1247443786.5987129</v>
      </c>
      <c r="L18" s="450"/>
      <c r="M18" s="450"/>
      <c r="N18" s="450"/>
      <c r="O18" s="450"/>
      <c r="P18" s="450"/>
      <c r="Q18" s="450"/>
      <c r="R18" s="450"/>
      <c r="S18" s="450"/>
      <c r="T18" s="450"/>
      <c r="U18" s="450"/>
      <c r="V18" s="450"/>
      <c r="W18" s="451"/>
      <c r="X18" s="2"/>
      <c r="Y18" s="26"/>
    </row>
    <row r="19" spans="2:25">
      <c r="B19" s="7"/>
      <c r="C19" s="17" t="s">
        <v>15</v>
      </c>
      <c r="D19" s="18"/>
      <c r="E19" s="18"/>
      <c r="F19" s="13"/>
      <c r="G19" s="13"/>
      <c r="H19" s="13"/>
      <c r="I19" s="13"/>
      <c r="J19" s="14"/>
      <c r="K19" s="449">
        <f>SUM(G40:W40)</f>
        <v>1209958367.7687128</v>
      </c>
      <c r="L19" s="450"/>
      <c r="M19" s="450"/>
      <c r="N19" s="450"/>
      <c r="O19" s="450"/>
      <c r="P19" s="450"/>
      <c r="Q19" s="450"/>
      <c r="R19" s="450"/>
      <c r="S19" s="450"/>
      <c r="T19" s="450"/>
      <c r="U19" s="450"/>
      <c r="V19" s="450"/>
      <c r="W19" s="451"/>
      <c r="X19" s="2"/>
    </row>
    <row r="20" spans="2:25" ht="15" thickBot="1">
      <c r="B20" s="7"/>
      <c r="C20" s="27" t="s">
        <v>16</v>
      </c>
      <c r="D20" s="28"/>
      <c r="E20" s="28"/>
      <c r="F20" s="28"/>
      <c r="G20" s="28"/>
      <c r="H20" s="28"/>
      <c r="I20" s="28"/>
      <c r="J20" s="29"/>
      <c r="K20" s="452" t="s">
        <v>373</v>
      </c>
      <c r="L20" s="453"/>
      <c r="M20" s="453"/>
      <c r="N20" s="453"/>
      <c r="O20" s="453"/>
      <c r="P20" s="453"/>
      <c r="Q20" s="453"/>
      <c r="R20" s="453"/>
      <c r="S20" s="453"/>
      <c r="T20" s="453"/>
      <c r="U20" s="453"/>
      <c r="V20" s="453"/>
      <c r="W20" s="454"/>
      <c r="X20" s="2"/>
    </row>
    <row r="21" spans="2:25" ht="15" thickBot="1">
      <c r="B21" s="7"/>
      <c r="C21" s="9"/>
      <c r="D21" s="9"/>
      <c r="E21" s="9"/>
      <c r="F21" s="9"/>
      <c r="G21" s="9"/>
      <c r="H21" s="9"/>
      <c r="I21" s="9"/>
      <c r="J21" s="9"/>
      <c r="K21" s="9"/>
      <c r="L21" s="9"/>
      <c r="M21" s="9"/>
      <c r="N21" s="9"/>
      <c r="O21" s="9"/>
      <c r="P21" s="9"/>
      <c r="Q21" s="9"/>
      <c r="R21" s="9"/>
      <c r="S21" s="9"/>
      <c r="T21" s="9"/>
      <c r="U21" s="9"/>
      <c r="V21" s="9"/>
      <c r="W21" s="2"/>
      <c r="X21" s="2"/>
    </row>
    <row r="22" spans="2:25">
      <c r="B22" s="7"/>
      <c r="C22" s="30" t="s">
        <v>17</v>
      </c>
      <c r="D22" s="31"/>
      <c r="E22" s="31"/>
      <c r="F22" s="31"/>
      <c r="G22" s="31"/>
      <c r="H22" s="31"/>
      <c r="I22" s="31"/>
      <c r="J22" s="31"/>
      <c r="K22" s="31"/>
      <c r="L22" s="31"/>
      <c r="M22" s="31"/>
      <c r="N22" s="31"/>
      <c r="O22" s="31"/>
      <c r="P22" s="31"/>
      <c r="Q22" s="31"/>
      <c r="R22" s="31"/>
      <c r="S22" s="31"/>
      <c r="T22" s="31"/>
      <c r="U22" s="31"/>
      <c r="V22" s="31"/>
      <c r="W22" s="32"/>
      <c r="X22" s="2"/>
    </row>
    <row r="23" spans="2:25">
      <c r="B23" s="7"/>
      <c r="C23" s="23" t="s">
        <v>18</v>
      </c>
      <c r="D23" s="33"/>
      <c r="E23" s="33"/>
      <c r="F23" s="33"/>
      <c r="G23" s="16" t="s">
        <v>19</v>
      </c>
      <c r="H23" s="16" t="s">
        <v>20</v>
      </c>
      <c r="I23" s="16" t="s">
        <v>21</v>
      </c>
      <c r="J23" s="16" t="s">
        <v>22</v>
      </c>
      <c r="K23" s="16" t="s">
        <v>23</v>
      </c>
      <c r="L23" s="16" t="s">
        <v>24</v>
      </c>
      <c r="M23" s="16" t="s">
        <v>25</v>
      </c>
      <c r="N23" s="16" t="s">
        <v>26</v>
      </c>
      <c r="O23" s="16" t="s">
        <v>27</v>
      </c>
      <c r="P23" s="16" t="s">
        <v>28</v>
      </c>
      <c r="Q23" s="16" t="s">
        <v>29</v>
      </c>
      <c r="R23" s="16" t="s">
        <v>29</v>
      </c>
      <c r="S23" s="16" t="s">
        <v>29</v>
      </c>
      <c r="T23" s="16" t="s">
        <v>30</v>
      </c>
      <c r="U23" s="34" t="s">
        <v>30</v>
      </c>
      <c r="V23" s="34" t="s">
        <v>30</v>
      </c>
      <c r="W23" s="35" t="s">
        <v>30</v>
      </c>
      <c r="X23" s="2"/>
    </row>
    <row r="24" spans="2:25">
      <c r="B24" s="7"/>
      <c r="C24" s="36" t="s">
        <v>31</v>
      </c>
      <c r="D24" s="37"/>
      <c r="E24" s="37"/>
      <c r="F24" s="37"/>
      <c r="G24" s="38" t="s">
        <v>32</v>
      </c>
      <c r="H24" s="38" t="s">
        <v>33</v>
      </c>
      <c r="I24" s="38" t="s">
        <v>34</v>
      </c>
      <c r="J24" s="38" t="s">
        <v>35</v>
      </c>
      <c r="K24" s="38" t="s">
        <v>36</v>
      </c>
      <c r="L24" s="38" t="s">
        <v>37</v>
      </c>
      <c r="M24" s="38" t="s">
        <v>38</v>
      </c>
      <c r="N24" s="38" t="s">
        <v>39</v>
      </c>
      <c r="O24" s="38" t="s">
        <v>40</v>
      </c>
      <c r="P24" s="38" t="s">
        <v>41</v>
      </c>
      <c r="Q24" s="38" t="s">
        <v>42</v>
      </c>
      <c r="R24" s="38" t="s">
        <v>43</v>
      </c>
      <c r="S24" s="38" t="s">
        <v>44</v>
      </c>
      <c r="T24" s="39" t="s">
        <v>45</v>
      </c>
      <c r="U24" s="40" t="s">
        <v>46</v>
      </c>
      <c r="V24" s="40" t="s">
        <v>47</v>
      </c>
      <c r="W24" s="41" t="s">
        <v>48</v>
      </c>
      <c r="X24" s="2"/>
    </row>
    <row r="25" spans="2:25">
      <c r="B25" s="7"/>
      <c r="C25" s="23" t="s">
        <v>49</v>
      </c>
      <c r="D25" s="33"/>
      <c r="E25" s="33"/>
      <c r="F25" s="33"/>
      <c r="G25" s="38" t="s">
        <v>50</v>
      </c>
      <c r="H25" s="38" t="s">
        <v>51</v>
      </c>
      <c r="I25" s="38" t="s">
        <v>52</v>
      </c>
      <c r="J25" s="38" t="s">
        <v>53</v>
      </c>
      <c r="K25" s="38" t="s">
        <v>54</v>
      </c>
      <c r="L25" s="38" t="s">
        <v>55</v>
      </c>
      <c r="M25" s="38" t="s">
        <v>56</v>
      </c>
      <c r="N25" s="38" t="s">
        <v>57</v>
      </c>
      <c r="O25" s="38" t="s">
        <v>58</v>
      </c>
      <c r="P25" s="38" t="s">
        <v>59</v>
      </c>
      <c r="Q25" s="38" t="s">
        <v>60</v>
      </c>
      <c r="R25" s="38" t="s">
        <v>61</v>
      </c>
      <c r="S25" s="38" t="s">
        <v>62</v>
      </c>
      <c r="T25" s="42" t="s">
        <v>63</v>
      </c>
      <c r="U25" s="43" t="s">
        <v>64</v>
      </c>
      <c r="V25" s="43" t="s">
        <v>65</v>
      </c>
      <c r="W25" s="44" t="s">
        <v>66</v>
      </c>
      <c r="X25" s="2"/>
    </row>
    <row r="26" spans="2:25">
      <c r="B26" s="7"/>
      <c r="C26" s="23" t="s">
        <v>67</v>
      </c>
      <c r="D26" s="33"/>
      <c r="E26" s="33"/>
      <c r="F26" s="33"/>
      <c r="G26" s="38" t="s">
        <v>68</v>
      </c>
      <c r="H26" s="38" t="s">
        <v>68</v>
      </c>
      <c r="I26" s="38" t="s">
        <v>68</v>
      </c>
      <c r="J26" s="38" t="s">
        <v>68</v>
      </c>
      <c r="K26" s="38" t="s">
        <v>68</v>
      </c>
      <c r="L26" s="38" t="s">
        <v>68</v>
      </c>
      <c r="M26" s="38" t="s">
        <v>68</v>
      </c>
      <c r="N26" s="38" t="s">
        <v>69</v>
      </c>
      <c r="O26" s="38" t="s">
        <v>68</v>
      </c>
      <c r="P26" s="38" t="s">
        <v>68</v>
      </c>
      <c r="Q26" s="38" t="s">
        <v>68</v>
      </c>
      <c r="R26" s="38" t="s">
        <v>68</v>
      </c>
      <c r="S26" s="38" t="s">
        <v>68</v>
      </c>
      <c r="T26" s="45" t="s">
        <v>68</v>
      </c>
      <c r="U26" s="46" t="s">
        <v>68</v>
      </c>
      <c r="V26" s="46" t="s">
        <v>68</v>
      </c>
      <c r="W26" s="41" t="s">
        <v>68</v>
      </c>
      <c r="X26" s="2"/>
    </row>
    <row r="27" spans="2:25">
      <c r="B27" s="7"/>
      <c r="C27" s="36" t="s">
        <v>70</v>
      </c>
      <c r="D27" s="37"/>
      <c r="E27" s="37"/>
      <c r="F27" s="37"/>
      <c r="G27" s="47">
        <v>1.55E-2</v>
      </c>
      <c r="H27" s="48">
        <v>1.7000000000000001E-2</v>
      </c>
      <c r="I27" s="48">
        <v>1.4999999999999999E-2</v>
      </c>
      <c r="J27" s="48">
        <v>1.4500000000000001E-2</v>
      </c>
      <c r="K27" s="48">
        <v>2.1999999999999999E-2</v>
      </c>
      <c r="L27" s="48">
        <v>2.35E-2</v>
      </c>
      <c r="M27" s="48">
        <v>2.5000000000000001E-2</v>
      </c>
      <c r="N27" s="49" t="s">
        <v>71</v>
      </c>
      <c r="O27" s="48">
        <v>2.35E-2</v>
      </c>
      <c r="P27" s="48">
        <v>1.6E-2</v>
      </c>
      <c r="Q27" s="48">
        <v>2.5000000000000001E-2</v>
      </c>
      <c r="R27" s="48">
        <v>2.7400000000000001E-2</v>
      </c>
      <c r="S27" s="48">
        <v>2.75E-2</v>
      </c>
      <c r="T27" s="50">
        <v>3.7999999999999999E-2</v>
      </c>
      <c r="U27" s="51">
        <v>0.04</v>
      </c>
      <c r="V27" s="51">
        <v>3.6999999999999998E-2</v>
      </c>
      <c r="W27" s="52">
        <v>3.6999999999999998E-2</v>
      </c>
      <c r="X27" s="2"/>
    </row>
    <row r="28" spans="2:25">
      <c r="B28" s="7"/>
      <c r="C28" s="23" t="s">
        <v>72</v>
      </c>
      <c r="D28" s="33"/>
      <c r="E28" s="33"/>
      <c r="F28" s="33"/>
      <c r="G28" s="47">
        <f t="shared" ref="G28:M28" si="0">G27*1.3</f>
        <v>2.0150000000000001E-2</v>
      </c>
      <c r="H28" s="48">
        <f t="shared" si="0"/>
        <v>2.2100000000000002E-2</v>
      </c>
      <c r="I28" s="48">
        <f>I27*1.3</f>
        <v>1.95E-2</v>
      </c>
      <c r="J28" s="48">
        <v>1.89E-2</v>
      </c>
      <c r="K28" s="48">
        <f t="shared" si="0"/>
        <v>2.86E-2</v>
      </c>
      <c r="L28" s="48">
        <f t="shared" si="0"/>
        <v>3.0550000000000001E-2</v>
      </c>
      <c r="M28" s="48">
        <f t="shared" si="0"/>
        <v>3.2500000000000001E-2</v>
      </c>
      <c r="N28" s="48">
        <f>M28</f>
        <v>3.2500000000000001E-2</v>
      </c>
      <c r="O28" s="48">
        <v>3.0599999999999999E-2</v>
      </c>
      <c r="P28" s="48">
        <f>P27*1.3</f>
        <v>2.0800000000000003E-2</v>
      </c>
      <c r="Q28" s="48">
        <f>Q27*1.3</f>
        <v>3.2500000000000001E-2</v>
      </c>
      <c r="R28" s="48">
        <f>R27*1.3</f>
        <v>3.5619999999999999E-2</v>
      </c>
      <c r="S28" s="48">
        <v>3.5799999999999998E-2</v>
      </c>
      <c r="T28" s="50">
        <f>T27*1.3</f>
        <v>4.9399999999999999E-2</v>
      </c>
      <c r="U28" s="51">
        <v>5.2000000000000005E-2</v>
      </c>
      <c r="V28" s="51">
        <v>4.8099999999999997E-2</v>
      </c>
      <c r="W28" s="52">
        <f>W27*1.3</f>
        <v>4.8099999999999997E-2</v>
      </c>
      <c r="X28" s="2"/>
    </row>
    <row r="29" spans="2:25">
      <c r="B29" s="7"/>
      <c r="C29" s="23" t="s">
        <v>73</v>
      </c>
      <c r="D29" s="33"/>
      <c r="E29" s="33"/>
      <c r="F29" s="33"/>
      <c r="G29" s="47">
        <f>'Servicer Report'!$J$16</f>
        <v>7.9329999999999998E-2</v>
      </c>
      <c r="H29" s="48">
        <f>'Servicer Report'!$J$16</f>
        <v>7.9329999999999998E-2</v>
      </c>
      <c r="I29" s="48">
        <f>'Servicer Report'!$J$16</f>
        <v>7.9329999999999998E-2</v>
      </c>
      <c r="J29" s="48">
        <f>'Servicer Report'!$J$16</f>
        <v>7.9329999999999998E-2</v>
      </c>
      <c r="K29" s="48">
        <f>'Servicer Report'!$J$16</f>
        <v>7.9329999999999998E-2</v>
      </c>
      <c r="L29" s="48">
        <f>'Servicer Report'!$J$16</f>
        <v>7.9329999999999998E-2</v>
      </c>
      <c r="M29" s="48">
        <f>'Servicer Report'!$J$16</f>
        <v>7.9329999999999998E-2</v>
      </c>
      <c r="N29" s="49" t="s">
        <v>71</v>
      </c>
      <c r="O29" s="48">
        <f>'Servicer Report'!$J$16</f>
        <v>7.9329999999999998E-2</v>
      </c>
      <c r="P29" s="48">
        <f>'Servicer Report'!$J$16</f>
        <v>7.9329999999999998E-2</v>
      </c>
      <c r="Q29" s="48">
        <f>'Servicer Report'!$J$16</f>
        <v>7.9329999999999998E-2</v>
      </c>
      <c r="R29" s="48">
        <f>'Servicer Report'!$J$16</f>
        <v>7.9329999999999998E-2</v>
      </c>
      <c r="S29" s="48">
        <f>'Servicer Report'!$J$16</f>
        <v>7.9329999999999998E-2</v>
      </c>
      <c r="T29" s="48">
        <f>'Servicer Report'!$J$16</f>
        <v>7.9329999999999998E-2</v>
      </c>
      <c r="U29" s="48">
        <f>'Servicer Report'!$J$16</f>
        <v>7.9329999999999998E-2</v>
      </c>
      <c r="V29" s="51">
        <f>'Servicer Report'!$J$16</f>
        <v>7.9329999999999998E-2</v>
      </c>
      <c r="W29" s="52">
        <f>'Servicer Report'!$J$16</f>
        <v>7.9329999999999998E-2</v>
      </c>
      <c r="X29" s="2"/>
    </row>
    <row r="30" spans="2:25">
      <c r="B30" s="7"/>
      <c r="C30" s="23" t="s">
        <v>74</v>
      </c>
      <c r="D30" s="33"/>
      <c r="E30" s="33"/>
      <c r="F30" s="33"/>
      <c r="G30" s="53">
        <f>G29+G27</f>
        <v>9.4829999999999998E-2</v>
      </c>
      <c r="H30" s="54">
        <f>H29+H27</f>
        <v>9.6329999999999999E-2</v>
      </c>
      <c r="I30" s="54">
        <f>I29+I27</f>
        <v>9.4329999999999997E-2</v>
      </c>
      <c r="J30" s="54">
        <f>J29+J27</f>
        <v>9.3829999999999997E-2</v>
      </c>
      <c r="K30" s="54">
        <f t="shared" ref="K30:L30" si="1">K29+K27</f>
        <v>0.10133</v>
      </c>
      <c r="L30" s="54">
        <f t="shared" si="1"/>
        <v>0.10283</v>
      </c>
      <c r="M30" s="54">
        <f>M29+M27</f>
        <v>0.10433000000000001</v>
      </c>
      <c r="N30" s="55">
        <v>0.10235</v>
      </c>
      <c r="O30" s="54">
        <f t="shared" ref="O30:W30" si="2">O29+O27</f>
        <v>0.10283</v>
      </c>
      <c r="P30" s="54">
        <f t="shared" si="2"/>
        <v>9.5329999999999998E-2</v>
      </c>
      <c r="Q30" s="54">
        <f t="shared" si="2"/>
        <v>0.10433000000000001</v>
      </c>
      <c r="R30" s="54">
        <f t="shared" si="2"/>
        <v>0.10672999999999999</v>
      </c>
      <c r="S30" s="54">
        <f t="shared" si="2"/>
        <v>0.10682999999999999</v>
      </c>
      <c r="T30" s="56">
        <f t="shared" si="2"/>
        <v>0.11732999999999999</v>
      </c>
      <c r="U30" s="56">
        <f t="shared" si="2"/>
        <v>0.11932999999999999</v>
      </c>
      <c r="V30" s="57">
        <f t="shared" si="2"/>
        <v>0.11632999999999999</v>
      </c>
      <c r="W30" s="58">
        <f t="shared" si="2"/>
        <v>0.11632999999999999</v>
      </c>
      <c r="X30" s="2"/>
    </row>
    <row r="31" spans="2:25">
      <c r="B31" s="7"/>
      <c r="C31" s="36" t="s">
        <v>75</v>
      </c>
      <c r="D31" s="37"/>
      <c r="E31" s="37"/>
      <c r="F31" s="37"/>
      <c r="G31" s="59">
        <v>202000000</v>
      </c>
      <c r="H31" s="59">
        <v>27000000</v>
      </c>
      <c r="I31" s="59">
        <v>150000000</v>
      </c>
      <c r="J31" s="59">
        <v>50000000</v>
      </c>
      <c r="K31" s="59">
        <v>309000000</v>
      </c>
      <c r="L31" s="59">
        <v>283000000</v>
      </c>
      <c r="M31" s="59">
        <v>135000000</v>
      </c>
      <c r="N31" s="59">
        <v>60000000</v>
      </c>
      <c r="O31" s="59">
        <v>135000000</v>
      </c>
      <c r="P31" s="59">
        <v>167173042</v>
      </c>
      <c r="Q31" s="59">
        <v>73000000</v>
      </c>
      <c r="R31" s="59">
        <v>118000000</v>
      </c>
      <c r="S31" s="59">
        <v>30000000</v>
      </c>
      <c r="T31" s="60">
        <v>25000000</v>
      </c>
      <c r="U31" s="61">
        <v>12000000</v>
      </c>
      <c r="V31" s="61">
        <v>10000000</v>
      </c>
      <c r="W31" s="62">
        <v>18000000</v>
      </c>
      <c r="X31" s="2"/>
    </row>
    <row r="32" spans="2:25">
      <c r="B32" s="7"/>
      <c r="C32" s="23" t="s">
        <v>76</v>
      </c>
      <c r="D32" s="33"/>
      <c r="E32" s="33"/>
      <c r="F32" s="33"/>
      <c r="G32" s="47">
        <f>G31/SUM($G$31:$W$31)</f>
        <v>0.11196265285954761</v>
      </c>
      <c r="H32" s="48">
        <f t="shared" ref="H32:O32" si="3">H31/SUM($G$31:$W$31)</f>
        <v>1.4965305085187055E-2</v>
      </c>
      <c r="I32" s="48">
        <f t="shared" si="3"/>
        <v>8.3140583806594753E-2</v>
      </c>
      <c r="J32" s="48">
        <f t="shared" si="3"/>
        <v>2.7713527935531584E-2</v>
      </c>
      <c r="K32" s="48">
        <f t="shared" si="3"/>
        <v>0.17126960264158519</v>
      </c>
      <c r="L32" s="48">
        <f t="shared" si="3"/>
        <v>0.15685856811510876</v>
      </c>
      <c r="M32" s="48">
        <f t="shared" si="3"/>
        <v>7.4826525425935278E-2</v>
      </c>
      <c r="N32" s="48">
        <f>N31/SUM($G$31:$W$31)</f>
        <v>3.3256233522637901E-2</v>
      </c>
      <c r="O32" s="48">
        <f t="shared" si="3"/>
        <v>7.4826525425935278E-2</v>
      </c>
      <c r="P32" s="48">
        <f>P31/SUM($G$31:$W$31)</f>
        <v>9.2659095390695903E-2</v>
      </c>
      <c r="Q32" s="48">
        <f>Q31/SUM($G$31:$W$31)</f>
        <v>4.0461750785876112E-2</v>
      </c>
      <c r="R32" s="48">
        <f>R31/SUM($G$31:$W$31)</f>
        <v>6.5403925927854545E-2</v>
      </c>
      <c r="S32" s="48">
        <f>S31/SUM($G$31:$W$31)</f>
        <v>1.6628116761318951E-2</v>
      </c>
      <c r="T32" s="50">
        <f>T31/SUM($E$31:$W$31)</f>
        <v>1.3856763967765792E-2</v>
      </c>
      <c r="U32" s="50">
        <f>U31/SUM($E$31:$W$31)</f>
        <v>6.6512467045275808E-3</v>
      </c>
      <c r="V32" s="51">
        <f>V31/SUM($E$31:$W$31)</f>
        <v>5.5427055871063169E-3</v>
      </c>
      <c r="W32" s="52">
        <f>W31/SUM($G$31:$W$31)</f>
        <v>9.9768700567913707E-3</v>
      </c>
      <c r="X32" s="2"/>
    </row>
    <row r="33" spans="2:30">
      <c r="B33" s="7"/>
      <c r="C33" s="23" t="s">
        <v>77</v>
      </c>
      <c r="D33" s="33"/>
      <c r="E33" s="33"/>
      <c r="F33" s="33"/>
      <c r="G33" s="47">
        <v>0</v>
      </c>
      <c r="H33" s="47">
        <v>0</v>
      </c>
      <c r="I33" s="47">
        <v>0</v>
      </c>
      <c r="J33" s="47">
        <v>0</v>
      </c>
      <c r="K33" s="47">
        <v>0.18498770815289917</v>
      </c>
      <c r="L33" s="47">
        <v>0.16942239937627981</v>
      </c>
      <c r="M33" s="47">
        <v>8.0819872493985062E-2</v>
      </c>
      <c r="N33" s="47">
        <v>3.591994333066003E-2</v>
      </c>
      <c r="O33" s="47">
        <v>8.0819872493985062E-2</v>
      </c>
      <c r="P33" s="47">
        <f>P31/SUM($K$31:$W$31,$U$221)</f>
        <v>0.12156509536928517</v>
      </c>
      <c r="Q33" s="47">
        <v>4.3702597718969706E-2</v>
      </c>
      <c r="R33" s="47">
        <v>7.064255521696472E-2</v>
      </c>
      <c r="S33" s="47">
        <v>1.7959971665330015E-2</v>
      </c>
      <c r="T33" s="63">
        <v>1.4966643054441679E-2</v>
      </c>
      <c r="U33" s="63">
        <v>7.183988666132006E-3</v>
      </c>
      <c r="V33" s="64">
        <v>5.9866572217766719E-3</v>
      </c>
      <c r="W33" s="52">
        <v>1.0775982999198009E-2</v>
      </c>
      <c r="X33" s="2"/>
    </row>
    <row r="34" spans="2:30">
      <c r="B34" s="7"/>
      <c r="C34" s="65" t="s">
        <v>78</v>
      </c>
      <c r="D34" s="33"/>
      <c r="E34" s="33"/>
      <c r="F34" s="33"/>
      <c r="G34" s="48">
        <f>1-SUM($G$33:$J$33)</f>
        <v>1</v>
      </c>
      <c r="H34" s="48">
        <f t="shared" ref="H34:J34" si="4">1-SUM($G$33:$J$33)</f>
        <v>1</v>
      </c>
      <c r="I34" s="48">
        <f t="shared" si="4"/>
        <v>1</v>
      </c>
      <c r="J34" s="48">
        <f t="shared" si="4"/>
        <v>1</v>
      </c>
      <c r="K34" s="48">
        <f>1-SUM($G$33:$O$33)</f>
        <v>0.44803020415219086</v>
      </c>
      <c r="L34" s="48">
        <f>1-SUM($G$33:$N$33)</f>
        <v>0.52885007664617589</v>
      </c>
      <c r="M34" s="48">
        <f>1-SUM($G$33:$N$33)</f>
        <v>0.52885007664617589</v>
      </c>
      <c r="N34" s="48">
        <f>1-SUM($G$33:$N$33)</f>
        <v>0.52885007664617589</v>
      </c>
      <c r="O34" s="48">
        <f>1-SUM($G$33:$N$33)</f>
        <v>0.52885007664617589</v>
      </c>
      <c r="P34" s="48">
        <f>1-SUM(P33)</f>
        <v>0.87843490463071483</v>
      </c>
      <c r="Q34" s="48">
        <f t="shared" ref="Q34:R34" si="5">1-SUM($G$33:$S$33,-$P$33)</f>
        <v>0.31572507955092644</v>
      </c>
      <c r="R34" s="48">
        <f t="shared" si="5"/>
        <v>0.31572507955092644</v>
      </c>
      <c r="S34" s="48">
        <f>1-SUM($G$33:$S$33,-$P$33)</f>
        <v>0.31572507955092644</v>
      </c>
      <c r="T34" s="50">
        <f t="shared" ref="T34" si="6">1-SUM($G$33:$W$33,-$P$33)</f>
        <v>0.27681180760937796</v>
      </c>
      <c r="U34" s="50">
        <f>1-SUM($G$33:$W$33,-$P$33)</f>
        <v>0.27681180760937796</v>
      </c>
      <c r="V34" s="51">
        <f t="shared" ref="V34:W34" si="7">1-SUM($G$33:$W$33,-$P$33)</f>
        <v>0.27681180760937796</v>
      </c>
      <c r="W34" s="52">
        <f t="shared" si="7"/>
        <v>0.27681180760937796</v>
      </c>
      <c r="X34" s="2"/>
    </row>
    <row r="35" spans="2:30">
      <c r="B35" s="7"/>
      <c r="C35" s="23" t="s">
        <v>79</v>
      </c>
      <c r="D35" s="33"/>
      <c r="E35" s="33"/>
      <c r="F35" s="33"/>
      <c r="G35" s="59">
        <v>0</v>
      </c>
      <c r="H35" s="59">
        <v>0</v>
      </c>
      <c r="I35" s="59">
        <v>0</v>
      </c>
      <c r="J35" s="59">
        <v>0</v>
      </c>
      <c r="K35" s="59">
        <v>309000000</v>
      </c>
      <c r="L35" s="59">
        <v>283000000</v>
      </c>
      <c r="M35" s="59">
        <v>135000000</v>
      </c>
      <c r="N35" s="59">
        <v>60000000</v>
      </c>
      <c r="O35" s="59">
        <v>135000000</v>
      </c>
      <c r="P35" s="59">
        <v>39443786.598712832</v>
      </c>
      <c r="Q35" s="59">
        <v>73000000</v>
      </c>
      <c r="R35" s="59">
        <v>118000000</v>
      </c>
      <c r="S35" s="59">
        <v>30000000</v>
      </c>
      <c r="T35" s="60">
        <v>25000000</v>
      </c>
      <c r="U35" s="61">
        <v>12000000</v>
      </c>
      <c r="V35" s="61">
        <v>10000000</v>
      </c>
      <c r="W35" s="62">
        <v>18000000</v>
      </c>
      <c r="X35" s="2"/>
      <c r="Y35" s="26"/>
    </row>
    <row r="36" spans="2:30">
      <c r="B36" s="7"/>
      <c r="C36" s="23" t="s">
        <v>80</v>
      </c>
      <c r="D36" s="33"/>
      <c r="E36" s="33"/>
      <c r="F36" s="33"/>
      <c r="G36" s="59">
        <f>G35*G30*$K$16/365</f>
        <v>0</v>
      </c>
      <c r="H36" s="59">
        <f t="shared" ref="H36:M36" si="8">H35*H30*$K$16/365</f>
        <v>0</v>
      </c>
      <c r="I36" s="59">
        <f t="shared" si="8"/>
        <v>0</v>
      </c>
      <c r="J36" s="59">
        <f t="shared" si="8"/>
        <v>0</v>
      </c>
      <c r="K36" s="59">
        <f t="shared" si="8"/>
        <v>8063647.0684931511</v>
      </c>
      <c r="L36" s="59">
        <f t="shared" si="8"/>
        <v>7494475.7808219176</v>
      </c>
      <c r="M36" s="59">
        <f t="shared" si="8"/>
        <v>3627253.9726027399</v>
      </c>
      <c r="N36" s="59">
        <v>0</v>
      </c>
      <c r="O36" s="59">
        <f t="shared" ref="O36:W36" si="9">O35*O30*$K$16/365</f>
        <v>3575103.2876712331</v>
      </c>
      <c r="P36" s="59">
        <f t="shared" si="9"/>
        <v>968374.13859396614</v>
      </c>
      <c r="Q36" s="59">
        <f t="shared" si="9"/>
        <v>1961404</v>
      </c>
      <c r="R36" s="59">
        <f t="shared" si="9"/>
        <v>3243422.3561643828</v>
      </c>
      <c r="S36" s="59">
        <f t="shared" si="9"/>
        <v>825371.50684931502</v>
      </c>
      <c r="T36" s="59">
        <f t="shared" si="9"/>
        <v>755412.32876712317</v>
      </c>
      <c r="U36" s="66">
        <f t="shared" si="9"/>
        <v>368778.73972602742</v>
      </c>
      <c r="V36" s="66">
        <f t="shared" si="9"/>
        <v>299589.58904109587</v>
      </c>
      <c r="W36" s="67">
        <f t="shared" si="9"/>
        <v>539261.26027397253</v>
      </c>
      <c r="X36" s="2"/>
      <c r="Y36" s="8"/>
    </row>
    <row r="37" spans="2:30">
      <c r="B37" s="7"/>
      <c r="C37" s="23" t="s">
        <v>81</v>
      </c>
      <c r="D37" s="33"/>
      <c r="E37" s="33"/>
      <c r="F37" s="33"/>
      <c r="G37" s="59">
        <f t="shared" ref="G37:W37" si="10">G36</f>
        <v>0</v>
      </c>
      <c r="H37" s="59">
        <f t="shared" si="10"/>
        <v>0</v>
      </c>
      <c r="I37" s="59">
        <f t="shared" si="10"/>
        <v>0</v>
      </c>
      <c r="J37" s="59">
        <f t="shared" si="10"/>
        <v>0</v>
      </c>
      <c r="K37" s="59">
        <f t="shared" si="10"/>
        <v>8063647.0684931511</v>
      </c>
      <c r="L37" s="59">
        <f t="shared" si="10"/>
        <v>7494475.7808219176</v>
      </c>
      <c r="M37" s="59">
        <f t="shared" si="10"/>
        <v>3627253.9726027399</v>
      </c>
      <c r="N37" s="59">
        <f t="shared" si="10"/>
        <v>0</v>
      </c>
      <c r="O37" s="59">
        <f t="shared" si="10"/>
        <v>3575103.2876712331</v>
      </c>
      <c r="P37" s="59">
        <f t="shared" si="10"/>
        <v>968374.13859396614</v>
      </c>
      <c r="Q37" s="59">
        <f t="shared" si="10"/>
        <v>1961404</v>
      </c>
      <c r="R37" s="59">
        <f t="shared" si="10"/>
        <v>3243422.3561643828</v>
      </c>
      <c r="S37" s="59">
        <f t="shared" si="10"/>
        <v>825371.50684931502</v>
      </c>
      <c r="T37" s="60">
        <f t="shared" si="10"/>
        <v>755412.32876712317</v>
      </c>
      <c r="U37" s="61">
        <f t="shared" si="10"/>
        <v>368778.73972602742</v>
      </c>
      <c r="V37" s="61">
        <f t="shared" si="10"/>
        <v>299589.58904109587</v>
      </c>
      <c r="W37" s="62">
        <f t="shared" si="10"/>
        <v>539261.26027397253</v>
      </c>
      <c r="X37" s="2"/>
      <c r="Y37" s="68"/>
    </row>
    <row r="38" spans="2:30">
      <c r="B38" s="7"/>
      <c r="C38" s="23" t="s">
        <v>82</v>
      </c>
      <c r="D38" s="33"/>
      <c r="E38" s="33"/>
      <c r="F38" s="33"/>
      <c r="G38" s="59">
        <f t="shared" ref="G38:W38" si="11">G36-G37</f>
        <v>0</v>
      </c>
      <c r="H38" s="59">
        <f t="shared" si="11"/>
        <v>0</v>
      </c>
      <c r="I38" s="59">
        <f t="shared" si="11"/>
        <v>0</v>
      </c>
      <c r="J38" s="59">
        <f t="shared" si="11"/>
        <v>0</v>
      </c>
      <c r="K38" s="59">
        <f t="shared" si="11"/>
        <v>0</v>
      </c>
      <c r="L38" s="59">
        <f t="shared" si="11"/>
        <v>0</v>
      </c>
      <c r="M38" s="59">
        <f t="shared" si="11"/>
        <v>0</v>
      </c>
      <c r="N38" s="59">
        <f t="shared" si="11"/>
        <v>0</v>
      </c>
      <c r="O38" s="59">
        <f t="shared" si="11"/>
        <v>0</v>
      </c>
      <c r="P38" s="59">
        <f t="shared" si="11"/>
        <v>0</v>
      </c>
      <c r="Q38" s="59">
        <f t="shared" si="11"/>
        <v>0</v>
      </c>
      <c r="R38" s="59">
        <f t="shared" si="11"/>
        <v>0</v>
      </c>
      <c r="S38" s="59">
        <f t="shared" si="11"/>
        <v>0</v>
      </c>
      <c r="T38" s="69">
        <f t="shared" si="11"/>
        <v>0</v>
      </c>
      <c r="U38" s="69">
        <f t="shared" si="11"/>
        <v>0</v>
      </c>
      <c r="V38" s="61">
        <f t="shared" si="11"/>
        <v>0</v>
      </c>
      <c r="W38" s="62">
        <f t="shared" si="11"/>
        <v>0</v>
      </c>
      <c r="X38" s="2"/>
    </row>
    <row r="39" spans="2:30">
      <c r="B39" s="7"/>
      <c r="C39" s="23" t="s">
        <v>83</v>
      </c>
      <c r="D39" s="33"/>
      <c r="E39" s="33"/>
      <c r="F39" s="33"/>
      <c r="G39" s="59" t="s">
        <v>71</v>
      </c>
      <c r="H39" s="59" t="s">
        <v>71</v>
      </c>
      <c r="I39" s="59" t="s">
        <v>71</v>
      </c>
      <c r="J39" s="59" t="s">
        <v>71</v>
      </c>
      <c r="K39" s="59">
        <v>0</v>
      </c>
      <c r="L39" s="59">
        <v>0</v>
      </c>
      <c r="M39" s="59">
        <v>0</v>
      </c>
      <c r="N39" s="59">
        <v>0</v>
      </c>
      <c r="O39" s="59">
        <v>0</v>
      </c>
      <c r="P39" s="59">
        <f>L164</f>
        <v>37485418.830000013</v>
      </c>
      <c r="Q39" s="59">
        <v>0</v>
      </c>
      <c r="R39" s="59">
        <v>0</v>
      </c>
      <c r="S39" s="59">
        <v>0</v>
      </c>
      <c r="T39" s="59">
        <v>0</v>
      </c>
      <c r="U39" s="66">
        <v>0</v>
      </c>
      <c r="V39" s="66">
        <v>0</v>
      </c>
      <c r="W39" s="67">
        <v>0</v>
      </c>
      <c r="X39" s="2"/>
      <c r="Y39" s="26"/>
      <c r="Z39" s="26"/>
    </row>
    <row r="40" spans="2:30">
      <c r="B40" s="7"/>
      <c r="C40" s="23" t="s">
        <v>84</v>
      </c>
      <c r="D40" s="33"/>
      <c r="E40" s="33"/>
      <c r="F40" s="33"/>
      <c r="G40" s="59" t="s">
        <v>71</v>
      </c>
      <c r="H40" s="59" t="s">
        <v>71</v>
      </c>
      <c r="I40" s="59" t="s">
        <v>71</v>
      </c>
      <c r="J40" s="59" t="s">
        <v>71</v>
      </c>
      <c r="K40" s="59">
        <f t="shared" ref="K40:W40" si="12">K35-K39</f>
        <v>309000000</v>
      </c>
      <c r="L40" s="59">
        <f t="shared" si="12"/>
        <v>283000000</v>
      </c>
      <c r="M40" s="59">
        <f t="shared" si="12"/>
        <v>135000000</v>
      </c>
      <c r="N40" s="59">
        <f t="shared" si="12"/>
        <v>60000000</v>
      </c>
      <c r="O40" s="59">
        <f t="shared" si="12"/>
        <v>135000000</v>
      </c>
      <c r="P40" s="59">
        <f t="shared" si="12"/>
        <v>1958367.7687128186</v>
      </c>
      <c r="Q40" s="59">
        <f t="shared" si="12"/>
        <v>73000000</v>
      </c>
      <c r="R40" s="59">
        <f t="shared" si="12"/>
        <v>118000000</v>
      </c>
      <c r="S40" s="59">
        <f t="shared" si="12"/>
        <v>30000000</v>
      </c>
      <c r="T40" s="60">
        <f t="shared" si="12"/>
        <v>25000000</v>
      </c>
      <c r="U40" s="60">
        <f t="shared" si="12"/>
        <v>12000000</v>
      </c>
      <c r="V40" s="61">
        <f t="shared" si="12"/>
        <v>10000000</v>
      </c>
      <c r="W40" s="67">
        <f t="shared" si="12"/>
        <v>18000000</v>
      </c>
      <c r="X40" s="70"/>
      <c r="Y40" s="26"/>
    </row>
    <row r="41" spans="2:30">
      <c r="B41" s="7"/>
      <c r="C41" s="65" t="s">
        <v>85</v>
      </c>
      <c r="D41" s="33"/>
      <c r="E41" s="33"/>
      <c r="F41" s="33"/>
      <c r="G41" s="59" t="s">
        <v>71</v>
      </c>
      <c r="H41" s="59" t="s">
        <v>71</v>
      </c>
      <c r="I41" s="59" t="s">
        <v>71</v>
      </c>
      <c r="J41" s="59" t="s">
        <v>71</v>
      </c>
      <c r="K41" s="48">
        <f>K40/SUM($K$40:$W$40)</f>
        <v>0.25538068765938426</v>
      </c>
      <c r="L41" s="48">
        <f>L40/SUM($K$40:$W$40)</f>
        <v>0.23389234500843281</v>
      </c>
      <c r="M41" s="48">
        <f>M40/SUM($K$40:$W$40)</f>
        <v>0.11157408684147856</v>
      </c>
      <c r="N41" s="48">
        <f t="shared" ref="N41:W41" si="13">N40/SUM($K$40:$W$40)</f>
        <v>4.9588483040657133E-2</v>
      </c>
      <c r="O41" s="48">
        <f t="shared" si="13"/>
        <v>0.11157408684147856</v>
      </c>
      <c r="P41" s="48">
        <f t="shared" si="13"/>
        <v>1.6185414481030859E-3</v>
      </c>
      <c r="Q41" s="48">
        <f t="shared" si="13"/>
        <v>6.0332654366132846E-2</v>
      </c>
      <c r="R41" s="48">
        <f t="shared" si="13"/>
        <v>9.7524016646625702E-2</v>
      </c>
      <c r="S41" s="48">
        <f t="shared" si="13"/>
        <v>2.4794241520328567E-2</v>
      </c>
      <c r="T41" s="48">
        <f t="shared" si="13"/>
        <v>2.066186793360714E-2</v>
      </c>
      <c r="U41" s="48">
        <f t="shared" si="13"/>
        <v>9.9176966081314273E-3</v>
      </c>
      <c r="V41" s="71">
        <f t="shared" si="13"/>
        <v>8.2647471734428549E-3</v>
      </c>
      <c r="W41" s="52">
        <f t="shared" si="13"/>
        <v>1.4876544912197141E-2</v>
      </c>
      <c r="X41" s="2"/>
      <c r="AD41" s="8"/>
    </row>
    <row r="42" spans="2:30">
      <c r="B42" s="7"/>
      <c r="C42" s="65" t="s">
        <v>86</v>
      </c>
      <c r="D42" s="33"/>
      <c r="E42" s="33"/>
      <c r="F42" s="33"/>
      <c r="G42" s="48">
        <v>0</v>
      </c>
      <c r="H42" s="48">
        <v>0</v>
      </c>
      <c r="I42" s="48">
        <v>0</v>
      </c>
      <c r="J42" s="48">
        <v>0</v>
      </c>
      <c r="K42" s="48">
        <v>0.22221875630504626</v>
      </c>
      <c r="L42" s="48">
        <v>0.20352073797517181</v>
      </c>
      <c r="M42" s="48">
        <v>9.7085864405117295E-2</v>
      </c>
      <c r="N42" s="48">
        <v>4.3149273068941021E-2</v>
      </c>
      <c r="O42" s="48">
        <v>9.7085864405117295E-2</v>
      </c>
      <c r="P42" s="48">
        <v>1.4083690936933691E-3</v>
      </c>
      <c r="Q42" s="48">
        <v>5.2498282233878243E-2</v>
      </c>
      <c r="R42" s="48">
        <v>8.4860237035583999E-2</v>
      </c>
      <c r="S42" s="48">
        <v>2.1574636534470511E-2</v>
      </c>
      <c r="T42" s="50">
        <v>1.7978863778725426E-2</v>
      </c>
      <c r="U42" s="50">
        <v>8.6298546137882036E-3</v>
      </c>
      <c r="V42" s="51">
        <v>7.1915455114901702E-3</v>
      </c>
      <c r="W42" s="52">
        <v>1.2944781920682305E-2</v>
      </c>
      <c r="X42" s="2"/>
      <c r="AD42" s="6"/>
    </row>
    <row r="43" spans="2:30">
      <c r="B43" s="7"/>
      <c r="C43" s="72" t="s">
        <v>87</v>
      </c>
      <c r="D43" s="33"/>
      <c r="E43" s="33"/>
      <c r="F43" s="33"/>
      <c r="G43" s="73" t="s">
        <v>71</v>
      </c>
      <c r="H43" s="73" t="s">
        <v>71</v>
      </c>
      <c r="I43" s="73" t="s">
        <v>71</v>
      </c>
      <c r="J43" s="73" t="s">
        <v>71</v>
      </c>
      <c r="K43" s="48">
        <f>1-SUM($G$42:$P$42)</f>
        <v>0.3355311347469131</v>
      </c>
      <c r="L43" s="48">
        <f>1-SUM($G$42:$P$42)</f>
        <v>0.3355311347469131</v>
      </c>
      <c r="M43" s="48">
        <f>1-SUM($G$42:$P$42)</f>
        <v>0.3355311347469131</v>
      </c>
      <c r="N43" s="48">
        <f>1-SUM($G$42:$P$42)</f>
        <v>0.3355311347469131</v>
      </c>
      <c r="O43" s="48">
        <f>1-SUM($G$42:$P$42)</f>
        <v>0.3355311347469131</v>
      </c>
      <c r="P43" s="48">
        <f>1-G42-H42-I42-J42-P42</f>
        <v>0.99859163090630665</v>
      </c>
      <c r="Q43" s="48">
        <f>1-SUM($G$42:$S$42)</f>
        <v>0.17659797894298035</v>
      </c>
      <c r="R43" s="48">
        <f>1-SUM($G$42:$S$42)</f>
        <v>0.17659797894298035</v>
      </c>
      <c r="S43" s="48">
        <f>1-SUM($G$42:$S$42)</f>
        <v>0.17659797894298035</v>
      </c>
      <c r="T43" s="50">
        <f>1-SUM($G$42:$W$42)</f>
        <v>0.12985293311829438</v>
      </c>
      <c r="U43" s="51">
        <f>1-SUM($G$42:$W$42)</f>
        <v>0.12985293311829438</v>
      </c>
      <c r="V43" s="51">
        <f>1-SUM($G$42:$W$42)</f>
        <v>0.12985293311829438</v>
      </c>
      <c r="W43" s="52">
        <f>1-SUM($G$42:$W$42)</f>
        <v>0.12985293311829438</v>
      </c>
      <c r="X43" s="2"/>
    </row>
    <row r="44" spans="2:30">
      <c r="B44" s="7"/>
      <c r="C44" s="23" t="s">
        <v>88</v>
      </c>
      <c r="D44" s="33"/>
      <c r="E44" s="33"/>
      <c r="F44" s="33"/>
      <c r="G44" s="74">
        <v>52366</v>
      </c>
      <c r="H44" s="74">
        <v>52366</v>
      </c>
      <c r="I44" s="74">
        <v>52366</v>
      </c>
      <c r="J44" s="74">
        <v>52366</v>
      </c>
      <c r="K44" s="74">
        <v>52366</v>
      </c>
      <c r="L44" s="74">
        <v>52366</v>
      </c>
      <c r="M44" s="74">
        <v>52366</v>
      </c>
      <c r="N44" s="74">
        <v>52366</v>
      </c>
      <c r="O44" s="74">
        <v>52366</v>
      </c>
      <c r="P44" s="74">
        <v>52366</v>
      </c>
      <c r="Q44" s="74">
        <v>52366</v>
      </c>
      <c r="R44" s="74">
        <v>52366</v>
      </c>
      <c r="S44" s="74">
        <v>52366</v>
      </c>
      <c r="T44" s="75">
        <v>52366</v>
      </c>
      <c r="U44" s="76">
        <v>52366</v>
      </c>
      <c r="V44" s="76">
        <v>52366</v>
      </c>
      <c r="W44" s="77">
        <v>52366</v>
      </c>
      <c r="X44" s="2"/>
    </row>
    <row r="45" spans="2:30">
      <c r="B45" s="7"/>
      <c r="C45" s="36" t="s">
        <v>89</v>
      </c>
      <c r="D45" s="37"/>
      <c r="E45" s="37"/>
      <c r="F45" s="37"/>
      <c r="G45" s="74">
        <v>45427</v>
      </c>
      <c r="H45" s="74">
        <v>45427</v>
      </c>
      <c r="I45" s="74">
        <v>45427</v>
      </c>
      <c r="J45" s="74">
        <v>45427</v>
      </c>
      <c r="K45" s="74">
        <v>46157</v>
      </c>
      <c r="L45" s="74">
        <v>46157</v>
      </c>
      <c r="M45" s="74">
        <v>46157</v>
      </c>
      <c r="N45" s="74">
        <v>46157</v>
      </c>
      <c r="O45" s="74">
        <v>46157</v>
      </c>
      <c r="P45" s="74">
        <v>46157</v>
      </c>
      <c r="Q45" s="74">
        <v>46157</v>
      </c>
      <c r="R45" s="74">
        <v>46157</v>
      </c>
      <c r="S45" s="74">
        <v>46157</v>
      </c>
      <c r="T45" s="75">
        <v>46157</v>
      </c>
      <c r="U45" s="76">
        <v>46157</v>
      </c>
      <c r="V45" s="76">
        <v>46157</v>
      </c>
      <c r="W45" s="77">
        <v>46157</v>
      </c>
      <c r="X45" s="2"/>
    </row>
    <row r="46" spans="2:30">
      <c r="B46" s="7"/>
      <c r="C46" s="36" t="s">
        <v>90</v>
      </c>
      <c r="D46" s="37"/>
      <c r="E46" s="37"/>
      <c r="F46" s="37"/>
      <c r="G46" s="73" t="s">
        <v>71</v>
      </c>
      <c r="H46" s="73" t="str">
        <f>G46</f>
        <v>N/A</v>
      </c>
      <c r="I46" s="73" t="str">
        <f t="shared" ref="I46:M46" si="14">H46</f>
        <v>N/A</v>
      </c>
      <c r="J46" s="73" t="str">
        <f t="shared" si="14"/>
        <v>N/A</v>
      </c>
      <c r="K46" s="48">
        <v>7.5579999999999994E-2</v>
      </c>
      <c r="L46" s="48">
        <f t="shared" si="14"/>
        <v>7.5579999999999994E-2</v>
      </c>
      <c r="M46" s="48">
        <f t="shared" si="14"/>
        <v>7.5579999999999994E-2</v>
      </c>
      <c r="N46" s="48">
        <f>O46</f>
        <v>7.5579999999999994E-2</v>
      </c>
      <c r="O46" s="48">
        <f>M46</f>
        <v>7.5579999999999994E-2</v>
      </c>
      <c r="P46" s="48">
        <f>M46</f>
        <v>7.5579999999999994E-2</v>
      </c>
      <c r="Q46" s="48">
        <f>N46</f>
        <v>7.5579999999999994E-2</v>
      </c>
      <c r="R46" s="48">
        <f t="shared" ref="R46:W46" si="15">Q46</f>
        <v>7.5579999999999994E-2</v>
      </c>
      <c r="S46" s="48">
        <f t="shared" si="15"/>
        <v>7.5579999999999994E-2</v>
      </c>
      <c r="T46" s="50">
        <f t="shared" si="15"/>
        <v>7.5579999999999994E-2</v>
      </c>
      <c r="U46" s="50">
        <f t="shared" si="15"/>
        <v>7.5579999999999994E-2</v>
      </c>
      <c r="V46" s="51">
        <f t="shared" si="15"/>
        <v>7.5579999999999994E-2</v>
      </c>
      <c r="W46" s="52">
        <f t="shared" si="15"/>
        <v>7.5579999999999994E-2</v>
      </c>
      <c r="X46" s="2"/>
    </row>
    <row r="47" spans="2:30">
      <c r="B47" s="7"/>
      <c r="C47" s="36" t="s">
        <v>91</v>
      </c>
      <c r="D47" s="37"/>
      <c r="E47" s="37"/>
      <c r="F47" s="37"/>
      <c r="G47" s="73" t="s">
        <v>71</v>
      </c>
      <c r="H47" s="73" t="s">
        <v>71</v>
      </c>
      <c r="I47" s="73" t="s">
        <v>71</v>
      </c>
      <c r="J47" s="73" t="s">
        <v>71</v>
      </c>
      <c r="K47" s="48">
        <f t="shared" ref="K47:M47" si="16">K46+K27</f>
        <v>9.758E-2</v>
      </c>
      <c r="L47" s="48">
        <f t="shared" si="16"/>
        <v>9.9080000000000001E-2</v>
      </c>
      <c r="M47" s="48">
        <f t="shared" si="16"/>
        <v>0.10058</v>
      </c>
      <c r="N47" s="55">
        <f>N30</f>
        <v>0.10235</v>
      </c>
      <c r="O47" s="48">
        <f t="shared" ref="O47:W47" si="17">O46+O27</f>
        <v>9.9080000000000001E-2</v>
      </c>
      <c r="P47" s="48">
        <f t="shared" si="17"/>
        <v>9.1579999999999995E-2</v>
      </c>
      <c r="Q47" s="48">
        <f t="shared" si="17"/>
        <v>0.10058</v>
      </c>
      <c r="R47" s="48">
        <f t="shared" si="17"/>
        <v>0.10297999999999999</v>
      </c>
      <c r="S47" s="48">
        <f t="shared" si="17"/>
        <v>0.10307999999999999</v>
      </c>
      <c r="T47" s="50">
        <f t="shared" si="17"/>
        <v>0.11357999999999999</v>
      </c>
      <c r="U47" s="51">
        <f t="shared" si="17"/>
        <v>0.11557999999999999</v>
      </c>
      <c r="V47" s="51">
        <f t="shared" si="17"/>
        <v>0.11257999999999999</v>
      </c>
      <c r="W47" s="52">
        <f t="shared" si="17"/>
        <v>0.11257999999999999</v>
      </c>
      <c r="X47" s="2"/>
    </row>
    <row r="48" spans="2:30">
      <c r="B48" s="7"/>
      <c r="C48" s="23" t="s">
        <v>92</v>
      </c>
      <c r="D48" s="33"/>
      <c r="E48" s="33"/>
      <c r="F48" s="33"/>
      <c r="G48" s="78" t="s">
        <v>93</v>
      </c>
      <c r="H48" s="78" t="s">
        <v>93</v>
      </c>
      <c r="I48" s="78" t="s">
        <v>93</v>
      </c>
      <c r="J48" s="78" t="s">
        <v>93</v>
      </c>
      <c r="K48" s="78" t="s">
        <v>94</v>
      </c>
      <c r="L48" s="78" t="s">
        <v>94</v>
      </c>
      <c r="M48" s="78" t="s">
        <v>94</v>
      </c>
      <c r="N48" s="78" t="s">
        <v>94</v>
      </c>
      <c r="O48" s="78" t="s">
        <v>94</v>
      </c>
      <c r="P48" s="78" t="s">
        <v>93</v>
      </c>
      <c r="Q48" s="78" t="s">
        <v>374</v>
      </c>
      <c r="R48" s="78" t="s">
        <v>374</v>
      </c>
      <c r="S48" s="78" t="s">
        <v>95</v>
      </c>
      <c r="T48" s="79" t="s">
        <v>96</v>
      </c>
      <c r="U48" s="80" t="s">
        <v>96</v>
      </c>
      <c r="V48" s="80" t="s">
        <v>96</v>
      </c>
      <c r="W48" s="81" t="s">
        <v>96</v>
      </c>
      <c r="X48" s="2"/>
    </row>
    <row r="49" spans="2:33" ht="29.4" thickBot="1">
      <c r="B49" s="7"/>
      <c r="C49" s="82" t="s">
        <v>97</v>
      </c>
      <c r="D49" s="83"/>
      <c r="E49" s="83"/>
      <c r="F49" s="83"/>
      <c r="G49" s="84" t="s">
        <v>98</v>
      </c>
      <c r="H49" s="84" t="s">
        <v>98</v>
      </c>
      <c r="I49" s="84" t="s">
        <v>98</v>
      </c>
      <c r="J49" s="608" t="s">
        <v>98</v>
      </c>
      <c r="K49" s="607" t="s">
        <v>93</v>
      </c>
      <c r="L49" s="607" t="s">
        <v>93</v>
      </c>
      <c r="M49" s="607" t="s">
        <v>93</v>
      </c>
      <c r="N49" s="607" t="s">
        <v>93</v>
      </c>
      <c r="O49" s="607" t="s">
        <v>93</v>
      </c>
      <c r="P49" s="85" t="str">
        <f>P48</f>
        <v>AAA(za)(sf)</v>
      </c>
      <c r="Q49" s="85" t="s">
        <v>95</v>
      </c>
      <c r="R49" s="85" t="s">
        <v>95</v>
      </c>
      <c r="S49" s="85" t="s">
        <v>95</v>
      </c>
      <c r="T49" s="86" t="s">
        <v>99</v>
      </c>
      <c r="U49" s="87" t="s">
        <v>99</v>
      </c>
      <c r="V49" s="87" t="s">
        <v>99</v>
      </c>
      <c r="W49" s="88" t="s">
        <v>99</v>
      </c>
      <c r="X49" s="2"/>
      <c r="AF49" s="8"/>
    </row>
    <row r="50" spans="2:33" ht="15" thickBot="1">
      <c r="B50" s="7"/>
      <c r="C50" s="9"/>
      <c r="D50" s="9"/>
      <c r="E50" s="9"/>
      <c r="F50" s="9"/>
      <c r="G50" s="89"/>
      <c r="H50" s="199"/>
      <c r="I50" s="199"/>
      <c r="J50" s="9"/>
      <c r="K50" s="199"/>
      <c r="L50" s="199"/>
      <c r="M50" s="199"/>
      <c r="N50" s="199"/>
      <c r="O50" s="199"/>
      <c r="P50" s="9"/>
      <c r="Q50" s="9"/>
      <c r="R50" s="9"/>
      <c r="S50" s="9"/>
      <c r="T50" s="9"/>
      <c r="U50" s="9"/>
      <c r="V50" s="9"/>
      <c r="W50" s="2"/>
      <c r="X50" s="2"/>
      <c r="Z50" s="26"/>
    </row>
    <row r="51" spans="2:33" ht="15" thickBot="1">
      <c r="B51" s="7"/>
      <c r="C51" s="280" t="s">
        <v>100</v>
      </c>
      <c r="D51" s="281"/>
      <c r="E51" s="281"/>
      <c r="F51" s="281"/>
      <c r="G51" s="281"/>
      <c r="H51" s="281"/>
      <c r="I51" s="281"/>
      <c r="J51" s="281"/>
      <c r="K51" s="281"/>
      <c r="L51" s="281"/>
      <c r="M51" s="281"/>
      <c r="N51" s="281"/>
      <c r="O51" s="281"/>
      <c r="P51" s="281"/>
      <c r="Q51" s="281"/>
      <c r="R51" s="281"/>
      <c r="S51" s="281"/>
      <c r="T51" s="281"/>
      <c r="U51" s="281"/>
      <c r="V51" s="281"/>
      <c r="W51" s="282"/>
      <c r="X51" s="2"/>
    </row>
    <row r="52" spans="2:33" ht="15" thickBot="1">
      <c r="B52" s="7"/>
      <c r="C52" s="455" t="s">
        <v>101</v>
      </c>
      <c r="D52" s="456"/>
      <c r="E52" s="456"/>
      <c r="F52" s="456"/>
      <c r="G52" s="456"/>
      <c r="H52" s="456"/>
      <c r="I52" s="456"/>
      <c r="J52" s="456"/>
      <c r="K52" s="456"/>
      <c r="L52" s="456"/>
      <c r="M52" s="456"/>
      <c r="N52" s="456"/>
      <c r="O52" s="456"/>
      <c r="P52" s="456"/>
      <c r="Q52" s="456"/>
      <c r="R52" s="456"/>
      <c r="S52" s="456"/>
      <c r="T52" s="456"/>
      <c r="U52" s="456"/>
      <c r="V52" s="456"/>
      <c r="W52" s="457"/>
      <c r="X52" s="2"/>
      <c r="AD52" s="90"/>
    </row>
    <row r="53" spans="2:33">
      <c r="B53" s="7"/>
      <c r="C53" s="36" t="s">
        <v>102</v>
      </c>
      <c r="D53" s="37"/>
      <c r="E53" s="37"/>
      <c r="F53" s="37"/>
      <c r="G53" s="37"/>
      <c r="H53" s="37"/>
      <c r="I53" s="37"/>
      <c r="J53" s="37"/>
      <c r="K53" s="37"/>
      <c r="L53" s="37"/>
      <c r="M53" s="37"/>
      <c r="N53" s="37"/>
      <c r="O53" s="37"/>
      <c r="P53" s="37"/>
      <c r="Q53" s="37"/>
      <c r="R53" s="37"/>
      <c r="S53" s="37"/>
      <c r="T53" s="439">
        <v>212181123.65699285</v>
      </c>
      <c r="U53" s="440"/>
      <c r="V53" s="440"/>
      <c r="W53" s="441"/>
      <c r="X53" s="2"/>
      <c r="AA53" s="90"/>
      <c r="AB53" s="91"/>
      <c r="AD53" s="92"/>
      <c r="AE53" s="90"/>
      <c r="AF53" s="90"/>
      <c r="AG53" s="90"/>
    </row>
    <row r="54" spans="2:33">
      <c r="B54" s="7"/>
      <c r="C54" s="23" t="s">
        <v>103</v>
      </c>
      <c r="D54" s="33"/>
      <c r="E54" s="33"/>
      <c r="F54" s="33"/>
      <c r="G54" s="33"/>
      <c r="H54" s="33"/>
      <c r="I54" s="33"/>
      <c r="J54" s="33"/>
      <c r="K54" s="33"/>
      <c r="L54" s="33"/>
      <c r="M54" s="33"/>
      <c r="N54" s="33"/>
      <c r="O54" s="33"/>
      <c r="P54" s="33"/>
      <c r="Q54" s="33"/>
      <c r="R54" s="33"/>
      <c r="S54" s="33"/>
      <c r="T54" s="442">
        <v>177900838.79000002</v>
      </c>
      <c r="U54" s="443"/>
      <c r="V54" s="443"/>
      <c r="W54" s="444"/>
      <c r="X54" s="2"/>
      <c r="Y54" s="6"/>
      <c r="AA54" s="6"/>
      <c r="AB54" s="26"/>
      <c r="AD54" s="6"/>
      <c r="AG54" s="90"/>
    </row>
    <row r="55" spans="2:33">
      <c r="B55" s="7"/>
      <c r="C55" s="93" t="s">
        <v>104</v>
      </c>
      <c r="D55" s="94"/>
      <c r="E55" s="94"/>
      <c r="F55" s="94"/>
      <c r="G55" s="94"/>
      <c r="H55" s="94"/>
      <c r="I55" s="94"/>
      <c r="J55" s="94"/>
      <c r="K55" s="94"/>
      <c r="L55" s="94"/>
      <c r="M55" s="94"/>
      <c r="N55" s="94"/>
      <c r="O55" s="94"/>
      <c r="P55" s="94"/>
      <c r="Q55" s="94"/>
      <c r="R55" s="94"/>
      <c r="S55" s="94"/>
      <c r="T55" s="445">
        <f>SUM(T56:U58)</f>
        <v>34280284.866992831</v>
      </c>
      <c r="U55" s="446"/>
      <c r="V55" s="446"/>
      <c r="W55" s="447"/>
      <c r="X55" s="2"/>
      <c r="AA55" s="6"/>
      <c r="AB55" s="26"/>
      <c r="AG55" s="90"/>
    </row>
    <row r="56" spans="2:33">
      <c r="B56" s="7"/>
      <c r="C56" s="72" t="s">
        <v>105</v>
      </c>
      <c r="D56" s="37"/>
      <c r="E56" s="37"/>
      <c r="F56" s="37"/>
      <c r="G56" s="37"/>
      <c r="H56" s="37"/>
      <c r="I56" s="37"/>
      <c r="J56" s="37"/>
      <c r="K56" s="37"/>
      <c r="L56" s="37"/>
      <c r="M56" s="37"/>
      <c r="N56" s="37"/>
      <c r="O56" s="37"/>
      <c r="P56" s="37"/>
      <c r="Q56" s="37"/>
      <c r="R56" s="37"/>
      <c r="S56" s="37"/>
      <c r="T56" s="330">
        <f>T53-T54-U58</f>
        <v>1060506.8669928312</v>
      </c>
      <c r="U56" s="331"/>
      <c r="V56" s="331"/>
      <c r="W56" s="448"/>
      <c r="X56" s="2"/>
      <c r="AA56" s="6"/>
      <c r="AG56" s="96"/>
    </row>
    <row r="57" spans="2:33">
      <c r="B57" s="7"/>
      <c r="C57" s="72" t="s">
        <v>106</v>
      </c>
      <c r="D57" s="37"/>
      <c r="E57" s="37"/>
      <c r="F57" s="37"/>
      <c r="G57" s="37"/>
      <c r="H57" s="37"/>
      <c r="I57" s="37"/>
      <c r="J57" s="37"/>
      <c r="K57" s="37"/>
      <c r="L57" s="37"/>
      <c r="M57" s="37"/>
      <c r="N57" s="37"/>
      <c r="O57" s="37"/>
      <c r="P57" s="37"/>
      <c r="Q57" s="37"/>
      <c r="R57" s="37"/>
      <c r="S57" s="37"/>
      <c r="T57" s="97"/>
      <c r="U57" s="98">
        <v>0</v>
      </c>
      <c r="V57" s="98"/>
      <c r="W57" s="2"/>
      <c r="X57" s="2"/>
      <c r="AG57" s="99"/>
    </row>
    <row r="58" spans="2:33" ht="15" thickBot="1">
      <c r="B58" s="7"/>
      <c r="C58" s="72" t="s">
        <v>107</v>
      </c>
      <c r="D58" s="37"/>
      <c r="E58" s="37"/>
      <c r="F58" s="37"/>
      <c r="G58" s="37"/>
      <c r="H58" s="37"/>
      <c r="I58" s="37"/>
      <c r="J58" s="37"/>
      <c r="K58" s="37"/>
      <c r="L58" s="37"/>
      <c r="M58" s="37"/>
      <c r="N58" s="37"/>
      <c r="O58" s="37"/>
      <c r="P58" s="37"/>
      <c r="Q58" s="37"/>
      <c r="R58" s="37"/>
      <c r="S58" s="37"/>
      <c r="T58" s="97"/>
      <c r="U58" s="100">
        <f>Q190</f>
        <v>33219778</v>
      </c>
      <c r="V58" s="100"/>
      <c r="W58" s="2"/>
      <c r="X58" s="2"/>
      <c r="AA58" s="101"/>
      <c r="AD58" s="6"/>
      <c r="AG58" s="102"/>
    </row>
    <row r="59" spans="2:33" ht="15" thickBot="1">
      <c r="B59" s="7"/>
      <c r="C59" s="425" t="s">
        <v>108</v>
      </c>
      <c r="D59" s="426"/>
      <c r="E59" s="426"/>
      <c r="F59" s="426"/>
      <c r="G59" s="426"/>
      <c r="H59" s="426"/>
      <c r="I59" s="426"/>
      <c r="J59" s="426"/>
      <c r="K59" s="426"/>
      <c r="L59" s="426"/>
      <c r="M59" s="426"/>
      <c r="N59" s="426"/>
      <c r="O59" s="426"/>
      <c r="P59" s="426"/>
      <c r="Q59" s="426"/>
      <c r="R59" s="426"/>
      <c r="S59" s="426"/>
      <c r="T59" s="426"/>
      <c r="U59" s="426"/>
      <c r="V59" s="426"/>
      <c r="W59" s="427"/>
      <c r="X59" s="2"/>
      <c r="AF59" s="99"/>
    </row>
    <row r="60" spans="2:33">
      <c r="B60" s="7"/>
      <c r="C60" s="36" t="s">
        <v>109</v>
      </c>
      <c r="D60" s="37"/>
      <c r="E60" s="37"/>
      <c r="F60" s="37"/>
      <c r="G60" s="37"/>
      <c r="H60" s="37"/>
      <c r="I60" s="37"/>
      <c r="J60" s="37"/>
      <c r="K60" s="37"/>
      <c r="L60" s="37"/>
      <c r="M60" s="37"/>
      <c r="N60" s="37"/>
      <c r="O60" s="37"/>
      <c r="P60" s="37"/>
      <c r="Q60" s="37"/>
      <c r="R60" s="37"/>
      <c r="S60" s="37"/>
      <c r="T60" s="420">
        <f>SUM(L61:U62)</f>
        <v>0</v>
      </c>
      <c r="U60" s="421"/>
      <c r="V60" s="421"/>
      <c r="W60" s="422"/>
      <c r="X60" s="2"/>
      <c r="AA60" s="6"/>
      <c r="AG60" s="103"/>
    </row>
    <row r="61" spans="2:33">
      <c r="B61" s="7"/>
      <c r="C61" s="72" t="s">
        <v>110</v>
      </c>
      <c r="D61" s="37"/>
      <c r="E61" s="37"/>
      <c r="F61" s="37"/>
      <c r="G61" s="37"/>
      <c r="H61" s="37"/>
      <c r="I61" s="37"/>
      <c r="J61" s="37"/>
      <c r="K61" s="37"/>
      <c r="L61" s="37"/>
      <c r="M61" s="37"/>
      <c r="N61" s="37"/>
      <c r="O61" s="37"/>
      <c r="P61" s="37"/>
      <c r="Q61" s="37"/>
      <c r="R61" s="37"/>
      <c r="S61" s="37"/>
      <c r="T61" s="97"/>
      <c r="U61" s="100">
        <v>0</v>
      </c>
      <c r="V61" s="98"/>
      <c r="W61" s="104"/>
      <c r="X61" s="2"/>
      <c r="AB61" s="6"/>
    </row>
    <row r="62" spans="2:33">
      <c r="B62" s="7"/>
      <c r="C62" s="72" t="s">
        <v>111</v>
      </c>
      <c r="D62" s="37"/>
      <c r="E62" s="37"/>
      <c r="F62" s="37"/>
      <c r="G62" s="37"/>
      <c r="H62" s="37"/>
      <c r="I62" s="37"/>
      <c r="J62" s="37"/>
      <c r="K62" s="37"/>
      <c r="L62" s="37"/>
      <c r="M62" s="37"/>
      <c r="N62" s="37"/>
      <c r="O62" s="37"/>
      <c r="P62" s="37"/>
      <c r="Q62" s="37"/>
      <c r="R62" s="37"/>
      <c r="S62" s="105"/>
      <c r="T62" s="106"/>
      <c r="U62" s="100">
        <v>0</v>
      </c>
      <c r="V62" s="100"/>
      <c r="W62" s="104"/>
      <c r="X62" s="2"/>
    </row>
    <row r="63" spans="2:33">
      <c r="B63" s="7"/>
      <c r="C63" s="93" t="s">
        <v>112</v>
      </c>
      <c r="D63" s="94"/>
      <c r="E63" s="94"/>
      <c r="F63" s="94"/>
      <c r="G63" s="94"/>
      <c r="H63" s="94"/>
      <c r="I63" s="94"/>
      <c r="J63" s="94"/>
      <c r="K63" s="94"/>
      <c r="L63" s="94"/>
      <c r="M63" s="94"/>
      <c r="N63" s="94"/>
      <c r="O63" s="94"/>
      <c r="P63" s="94"/>
      <c r="Q63" s="94"/>
      <c r="R63" s="94"/>
      <c r="S63" s="107"/>
      <c r="T63" s="433">
        <f>SUM(K64:U65)</f>
        <v>2015089.7100000002</v>
      </c>
      <c r="U63" s="434"/>
      <c r="V63" s="434"/>
      <c r="W63" s="435"/>
      <c r="X63" s="2"/>
      <c r="AB63" s="26"/>
    </row>
    <row r="64" spans="2:33">
      <c r="B64" s="7"/>
      <c r="C64" s="72" t="s">
        <v>113</v>
      </c>
      <c r="D64" s="37"/>
      <c r="E64" s="37"/>
      <c r="F64" s="37"/>
      <c r="G64" s="37"/>
      <c r="H64" s="37"/>
      <c r="I64" s="37"/>
      <c r="J64" s="37"/>
      <c r="K64" s="37"/>
      <c r="L64" s="37"/>
      <c r="M64" s="37"/>
      <c r="N64" s="37"/>
      <c r="O64" s="37"/>
      <c r="P64" s="37"/>
      <c r="Q64" s="37"/>
      <c r="R64" s="37"/>
      <c r="S64" s="37"/>
      <c r="T64" s="97"/>
      <c r="U64" s="98">
        <v>27070.09</v>
      </c>
      <c r="V64" s="100"/>
      <c r="W64" s="104"/>
      <c r="X64" s="2"/>
    </row>
    <row r="65" spans="2:31">
      <c r="B65" s="7"/>
      <c r="C65" s="108" t="s">
        <v>114</v>
      </c>
      <c r="D65" s="109"/>
      <c r="E65" s="109"/>
      <c r="F65" s="109"/>
      <c r="G65" s="109"/>
      <c r="H65" s="109"/>
      <c r="I65" s="109"/>
      <c r="J65" s="109"/>
      <c r="K65" s="109"/>
      <c r="L65" s="109"/>
      <c r="M65" s="109"/>
      <c r="N65" s="109"/>
      <c r="O65" s="109"/>
      <c r="P65" s="109"/>
      <c r="Q65" s="109"/>
      <c r="R65" s="109"/>
      <c r="S65" s="109"/>
      <c r="T65" s="110"/>
      <c r="U65" s="100">
        <f>643674.27+483664.28+860681.07</f>
        <v>1988019.62</v>
      </c>
      <c r="V65" s="100"/>
      <c r="W65" s="104"/>
      <c r="X65" s="2"/>
      <c r="AA65" s="6"/>
    </row>
    <row r="66" spans="2:31">
      <c r="B66" s="7"/>
      <c r="C66" s="93" t="s">
        <v>115</v>
      </c>
      <c r="D66" s="94"/>
      <c r="E66" s="94"/>
      <c r="F66" s="94"/>
      <c r="G66" s="94"/>
      <c r="H66" s="94"/>
      <c r="I66" s="94"/>
      <c r="J66" s="94"/>
      <c r="K66" s="94"/>
      <c r="L66" s="94"/>
      <c r="M66" s="94"/>
      <c r="N66" s="94"/>
      <c r="O66" s="94"/>
      <c r="P66" s="94"/>
      <c r="Q66" s="94"/>
      <c r="R66" s="94"/>
      <c r="S66" s="94"/>
      <c r="T66" s="436">
        <f>SUM(U67:U69,U72,U75:U80)</f>
        <v>191193283.69112381</v>
      </c>
      <c r="U66" s="437"/>
      <c r="V66" s="437"/>
      <c r="W66" s="438"/>
      <c r="X66" s="2"/>
      <c r="Z66" s="26"/>
      <c r="AB66" s="26"/>
      <c r="AD66" s="8"/>
    </row>
    <row r="67" spans="2:31">
      <c r="B67" s="7"/>
      <c r="C67" s="72" t="s">
        <v>116</v>
      </c>
      <c r="D67" s="37"/>
      <c r="E67" s="37"/>
      <c r="F67" s="37"/>
      <c r="G67" s="37"/>
      <c r="H67" s="37"/>
      <c r="I67" s="37"/>
      <c r="J67" s="37"/>
      <c r="K67" s="37"/>
      <c r="L67" s="37"/>
      <c r="M67" s="37"/>
      <c r="N67" s="37"/>
      <c r="O67" s="37"/>
      <c r="P67" s="37"/>
      <c r="Q67" s="37"/>
      <c r="R67" s="37"/>
      <c r="S67" s="37"/>
      <c r="T67" s="97"/>
      <c r="U67" s="100">
        <f>'Servicer Report'!J39</f>
        <v>12324492.550000001</v>
      </c>
      <c r="V67" s="98"/>
      <c r="W67" s="111"/>
      <c r="X67" s="2"/>
      <c r="AA67" s="6"/>
      <c r="AB67" s="26"/>
    </row>
    <row r="68" spans="2:31">
      <c r="B68" s="7"/>
      <c r="C68" s="72" t="s">
        <v>117</v>
      </c>
      <c r="D68" s="37"/>
      <c r="E68" s="37"/>
      <c r="F68" s="37"/>
      <c r="G68" s="37"/>
      <c r="H68" s="37"/>
      <c r="I68" s="37"/>
      <c r="J68" s="37"/>
      <c r="K68" s="37"/>
      <c r="L68" s="37"/>
      <c r="M68" s="37"/>
      <c r="N68" s="37"/>
      <c r="O68" s="37"/>
      <c r="P68" s="37"/>
      <c r="Q68" s="37"/>
      <c r="R68" s="37"/>
      <c r="S68" s="37"/>
      <c r="T68" s="97"/>
      <c r="U68" s="100">
        <f>'Servicer Report'!J42</f>
        <v>23878306.870000001</v>
      </c>
      <c r="V68" s="98"/>
      <c r="W68" s="111"/>
      <c r="X68" s="2"/>
      <c r="Z68" s="26"/>
    </row>
    <row r="69" spans="2:31">
      <c r="B69" s="7"/>
      <c r="C69" s="72" t="s">
        <v>118</v>
      </c>
      <c r="D69" s="37"/>
      <c r="E69" s="37"/>
      <c r="F69" s="37"/>
      <c r="G69" s="37"/>
      <c r="H69" s="37"/>
      <c r="I69" s="37"/>
      <c r="J69" s="37"/>
      <c r="K69" s="37"/>
      <c r="L69" s="37"/>
      <c r="M69" s="37"/>
      <c r="N69" s="37"/>
      <c r="O69" s="37"/>
      <c r="P69" s="37"/>
      <c r="Q69" s="37"/>
      <c r="R69" s="37"/>
      <c r="S69" s="37"/>
      <c r="T69" s="97"/>
      <c r="U69" s="98">
        <f>SUM(T70:T71)</f>
        <v>0</v>
      </c>
      <c r="V69" s="98"/>
      <c r="W69" s="111"/>
      <c r="X69" s="2"/>
      <c r="AA69" s="8"/>
    </row>
    <row r="70" spans="2:31">
      <c r="B70" s="7"/>
      <c r="C70" s="112" t="s">
        <v>119</v>
      </c>
      <c r="D70" s="37"/>
      <c r="E70" s="37"/>
      <c r="F70" s="37"/>
      <c r="G70" s="37"/>
      <c r="H70" s="37"/>
      <c r="I70" s="37"/>
      <c r="J70" s="37"/>
      <c r="K70" s="37"/>
      <c r="L70" s="37"/>
      <c r="M70" s="37"/>
      <c r="N70" s="37"/>
      <c r="O70" s="37"/>
      <c r="P70" s="37"/>
      <c r="Q70" s="37"/>
      <c r="R70" s="37"/>
      <c r="S70" s="37"/>
      <c r="T70" s="97">
        <v>0</v>
      </c>
      <c r="U70" s="113"/>
      <c r="V70" s="113"/>
      <c r="W70" s="111"/>
      <c r="X70" s="2"/>
    </row>
    <row r="71" spans="2:31">
      <c r="B71" s="7"/>
      <c r="C71" s="112" t="s">
        <v>120</v>
      </c>
      <c r="D71" s="37"/>
      <c r="E71" s="37"/>
      <c r="F71" s="37"/>
      <c r="G71" s="37"/>
      <c r="H71" s="37"/>
      <c r="I71" s="37"/>
      <c r="J71" s="37"/>
      <c r="K71" s="37"/>
      <c r="L71" s="37"/>
      <c r="M71" s="37"/>
      <c r="N71" s="37"/>
      <c r="O71" s="37"/>
      <c r="P71" s="37"/>
      <c r="Q71" s="37"/>
      <c r="R71" s="37"/>
      <c r="S71" s="37"/>
      <c r="T71" s="97">
        <v>0</v>
      </c>
      <c r="U71" s="113"/>
      <c r="V71" s="113"/>
      <c r="W71" s="111"/>
      <c r="X71" s="2"/>
    </row>
    <row r="72" spans="2:31">
      <c r="B72" s="7"/>
      <c r="C72" s="72" t="s">
        <v>121</v>
      </c>
      <c r="D72" s="37"/>
      <c r="E72" s="37"/>
      <c r="F72" s="37"/>
      <c r="G72" s="37"/>
      <c r="H72" s="37"/>
      <c r="I72" s="37"/>
      <c r="J72" s="37"/>
      <c r="K72" s="37"/>
      <c r="L72" s="37"/>
      <c r="M72" s="37"/>
      <c r="N72" s="37"/>
      <c r="O72" s="37"/>
      <c r="P72" s="37"/>
      <c r="Q72" s="37"/>
      <c r="R72" s="37"/>
      <c r="S72" s="37"/>
      <c r="T72" s="97"/>
      <c r="U72" s="98">
        <f>SUM(T73:T74)</f>
        <v>0</v>
      </c>
      <c r="V72" s="98"/>
      <c r="W72" s="111"/>
      <c r="X72" s="2"/>
      <c r="Z72" s="26"/>
    </row>
    <row r="73" spans="2:31">
      <c r="B73" s="7"/>
      <c r="C73" s="112" t="s">
        <v>119</v>
      </c>
      <c r="D73" s="37"/>
      <c r="E73" s="37"/>
      <c r="F73" s="37"/>
      <c r="G73" s="37"/>
      <c r="H73" s="37"/>
      <c r="I73" s="37"/>
      <c r="J73" s="37"/>
      <c r="K73" s="37"/>
      <c r="L73" s="37"/>
      <c r="M73" s="37"/>
      <c r="N73" s="37"/>
      <c r="O73" s="37"/>
      <c r="P73" s="37"/>
      <c r="Q73" s="37"/>
      <c r="R73" s="37"/>
      <c r="S73" s="37"/>
      <c r="T73" s="97">
        <v>0</v>
      </c>
      <c r="U73" s="113"/>
      <c r="V73" s="113"/>
      <c r="W73" s="111"/>
      <c r="X73" s="2"/>
    </row>
    <row r="74" spans="2:31">
      <c r="B74" s="7"/>
      <c r="C74" s="112" t="s">
        <v>120</v>
      </c>
      <c r="D74" s="37"/>
      <c r="E74" s="37"/>
      <c r="F74" s="37"/>
      <c r="G74" s="37"/>
      <c r="H74" s="37"/>
      <c r="I74" s="37"/>
      <c r="J74" s="37"/>
      <c r="K74" s="37"/>
      <c r="L74" s="37"/>
      <c r="M74" s="37"/>
      <c r="N74" s="37"/>
      <c r="O74" s="37"/>
      <c r="P74" s="37"/>
      <c r="Q74" s="37"/>
      <c r="R74" s="37"/>
      <c r="S74" s="37"/>
      <c r="T74" s="97">
        <v>0</v>
      </c>
      <c r="U74" s="113"/>
      <c r="V74" s="113"/>
      <c r="W74" s="111"/>
      <c r="X74" s="2"/>
      <c r="AE74" s="26"/>
    </row>
    <row r="75" spans="2:31">
      <c r="B75" s="7"/>
      <c r="C75" s="72" t="s">
        <v>122</v>
      </c>
      <c r="D75" s="37"/>
      <c r="E75" s="37"/>
      <c r="F75" s="37"/>
      <c r="G75" s="37"/>
      <c r="H75" s="37"/>
      <c r="I75" s="37"/>
      <c r="J75" s="37"/>
      <c r="K75" s="37"/>
      <c r="L75" s="37"/>
      <c r="M75" s="37"/>
      <c r="N75" s="37"/>
      <c r="O75" s="37"/>
      <c r="P75" s="37"/>
      <c r="Q75" s="37"/>
      <c r="R75" s="37"/>
      <c r="S75" s="37"/>
      <c r="T75" s="97"/>
      <c r="U75" s="98">
        <f>SUM(T76:T77)</f>
        <v>107045130</v>
      </c>
      <c r="V75" s="98"/>
      <c r="W75" s="111"/>
      <c r="X75" s="2"/>
      <c r="Z75" s="26"/>
      <c r="AB75" s="26"/>
    </row>
    <row r="76" spans="2:31">
      <c r="B76" s="7"/>
      <c r="C76" s="112" t="s">
        <v>123</v>
      </c>
      <c r="D76" s="37"/>
      <c r="E76" s="37"/>
      <c r="F76" s="37"/>
      <c r="G76" s="37"/>
      <c r="H76" s="37"/>
      <c r="I76" s="37"/>
      <c r="J76" s="37"/>
      <c r="K76" s="37"/>
      <c r="L76" s="37"/>
      <c r="M76" s="37"/>
      <c r="N76" s="37"/>
      <c r="O76" s="37"/>
      <c r="P76" s="37"/>
      <c r="Q76" s="37"/>
      <c r="R76" s="37"/>
      <c r="S76" s="37"/>
      <c r="T76" s="97">
        <f>'Servicer Report'!J46</f>
        <v>0</v>
      </c>
      <c r="U76" s="113"/>
      <c r="V76" s="113"/>
      <c r="W76" s="111"/>
      <c r="X76" s="2"/>
      <c r="AE76" s="90"/>
    </row>
    <row r="77" spans="2:31">
      <c r="B77" s="7"/>
      <c r="C77" s="112" t="s">
        <v>124</v>
      </c>
      <c r="D77" s="37"/>
      <c r="E77" s="37"/>
      <c r="F77" s="37"/>
      <c r="G77" s="37"/>
      <c r="H77" s="37"/>
      <c r="I77" s="37"/>
      <c r="J77" s="37"/>
      <c r="K77" s="37"/>
      <c r="L77" s="37"/>
      <c r="M77" s="37"/>
      <c r="N77" s="37"/>
      <c r="O77" s="37"/>
      <c r="P77" s="37"/>
      <c r="Q77" s="37"/>
      <c r="R77" s="37"/>
      <c r="S77" s="37"/>
      <c r="T77" s="97">
        <f>'Servicer Report'!J47</f>
        <v>107045130</v>
      </c>
      <c r="U77" s="113"/>
      <c r="V77" s="113"/>
      <c r="W77" s="111"/>
      <c r="X77" s="2"/>
      <c r="AB77" s="8"/>
      <c r="AE77" s="90"/>
    </row>
    <row r="78" spans="2:31">
      <c r="B78" s="7"/>
      <c r="C78" s="72" t="s">
        <v>125</v>
      </c>
      <c r="D78" s="37"/>
      <c r="E78" s="37"/>
      <c r="F78" s="37"/>
      <c r="G78" s="37"/>
      <c r="H78" s="37"/>
      <c r="I78" s="37"/>
      <c r="J78" s="37"/>
      <c r="K78" s="37"/>
      <c r="L78" s="37"/>
      <c r="M78" s="37"/>
      <c r="N78" s="37"/>
      <c r="O78" s="37"/>
      <c r="P78" s="37"/>
      <c r="Q78" s="37"/>
      <c r="R78" s="37"/>
      <c r="S78" s="37"/>
      <c r="T78" s="97"/>
      <c r="U78" s="100">
        <f>'Servicer Report'!J40</f>
        <v>47677346.730000034</v>
      </c>
      <c r="V78" s="98"/>
      <c r="W78" s="111"/>
      <c r="X78" s="2"/>
      <c r="Z78" s="26"/>
      <c r="AB78" s="26"/>
      <c r="AE78" s="90"/>
    </row>
    <row r="79" spans="2:31">
      <c r="B79" s="7"/>
      <c r="C79" s="72" t="s">
        <v>126</v>
      </c>
      <c r="D79" s="37"/>
      <c r="E79" s="37"/>
      <c r="F79" s="37"/>
      <c r="G79" s="37"/>
      <c r="H79" s="37"/>
      <c r="I79" s="37"/>
      <c r="J79" s="37"/>
      <c r="K79" s="37"/>
      <c r="L79" s="37"/>
      <c r="M79" s="37"/>
      <c r="N79" s="37"/>
      <c r="O79" s="37"/>
      <c r="P79" s="37"/>
      <c r="Q79" s="37"/>
      <c r="R79" s="37"/>
      <c r="S79" s="37"/>
      <c r="T79" s="97">
        <f>'Servicer Report'!J41</f>
        <v>0</v>
      </c>
      <c r="U79" s="98"/>
      <c r="V79" s="98"/>
      <c r="W79" s="111"/>
      <c r="X79" s="2"/>
      <c r="Z79" s="26"/>
      <c r="AA79" s="26"/>
      <c r="AE79" s="90"/>
    </row>
    <row r="80" spans="2:31">
      <c r="B80" s="7"/>
      <c r="C80" s="108" t="s">
        <v>127</v>
      </c>
      <c r="D80" s="109"/>
      <c r="E80" s="109"/>
      <c r="F80" s="109"/>
      <c r="G80" s="109"/>
      <c r="H80" s="109"/>
      <c r="I80" s="109"/>
      <c r="J80" s="109"/>
      <c r="K80" s="109"/>
      <c r="L80" s="109"/>
      <c r="M80" s="109"/>
      <c r="N80" s="109"/>
      <c r="O80" s="109"/>
      <c r="P80" s="109"/>
      <c r="Q80" s="109"/>
      <c r="R80" s="109"/>
      <c r="S80" s="109"/>
      <c r="T80" s="110"/>
      <c r="U80" s="114">
        <v>268007.54112378135</v>
      </c>
      <c r="V80" s="106"/>
      <c r="W80" s="115"/>
      <c r="X80" s="2"/>
      <c r="Z80" s="8"/>
      <c r="AA80" s="8"/>
    </row>
    <row r="81" spans="2:49" ht="15" thickBot="1">
      <c r="B81" s="7"/>
      <c r="C81" s="116" t="s">
        <v>128</v>
      </c>
      <c r="D81" s="94"/>
      <c r="E81" s="94"/>
      <c r="F81" s="94"/>
      <c r="G81" s="94"/>
      <c r="H81" s="94"/>
      <c r="I81" s="94"/>
      <c r="J81" s="94"/>
      <c r="K81" s="94"/>
      <c r="L81" s="94"/>
      <c r="M81" s="94"/>
      <c r="N81" s="94"/>
      <c r="O81" s="94"/>
      <c r="P81" s="94"/>
      <c r="Q81" s="94"/>
      <c r="R81" s="94"/>
      <c r="S81" s="107"/>
      <c r="T81" s="433">
        <v>0</v>
      </c>
      <c r="U81" s="434"/>
      <c r="V81" s="434"/>
      <c r="W81" s="435"/>
      <c r="X81" s="2"/>
    </row>
    <row r="82" spans="2:49" ht="15" thickBot="1">
      <c r="B82" s="7"/>
      <c r="C82" s="425" t="s">
        <v>129</v>
      </c>
      <c r="D82" s="426"/>
      <c r="E82" s="426"/>
      <c r="F82" s="426"/>
      <c r="G82" s="426"/>
      <c r="H82" s="426"/>
      <c r="I82" s="426"/>
      <c r="J82" s="426"/>
      <c r="K82" s="426"/>
      <c r="L82" s="426"/>
      <c r="M82" s="426"/>
      <c r="N82" s="426"/>
      <c r="O82" s="426"/>
      <c r="P82" s="426"/>
      <c r="Q82" s="426"/>
      <c r="R82" s="426"/>
      <c r="S82" s="426"/>
      <c r="T82" s="426"/>
      <c r="U82" s="426"/>
      <c r="V82" s="426"/>
      <c r="W82" s="427"/>
      <c r="X82" s="2"/>
    </row>
    <row r="83" spans="2:49">
      <c r="B83" s="7"/>
      <c r="C83" s="117" t="s">
        <v>130</v>
      </c>
      <c r="D83" s="37"/>
      <c r="E83" s="37"/>
      <c r="F83" s="37"/>
      <c r="G83" s="37"/>
      <c r="H83" s="37"/>
      <c r="I83" s="37"/>
      <c r="J83" s="37"/>
      <c r="K83" s="37"/>
      <c r="L83" s="37"/>
      <c r="M83" s="37"/>
      <c r="N83" s="37"/>
      <c r="O83" s="37"/>
      <c r="P83" s="37"/>
      <c r="Q83" s="37"/>
      <c r="R83" s="37"/>
      <c r="S83" s="37"/>
      <c r="T83" s="420">
        <f>SUM(T84:U86,T90:U93)</f>
        <v>105762510.59</v>
      </c>
      <c r="U83" s="421"/>
      <c r="V83" s="421"/>
      <c r="W83" s="422"/>
      <c r="X83" s="2"/>
    </row>
    <row r="84" spans="2:49">
      <c r="B84" s="7"/>
      <c r="C84" s="72" t="s">
        <v>131</v>
      </c>
      <c r="D84" s="37"/>
      <c r="E84" s="37"/>
      <c r="F84" s="37"/>
      <c r="G84" s="37"/>
      <c r="H84" s="37"/>
      <c r="I84" s="37"/>
      <c r="J84" s="37"/>
      <c r="K84" s="37"/>
      <c r="L84" s="37"/>
      <c r="M84" s="37"/>
      <c r="N84" s="37"/>
      <c r="O84" s="37"/>
      <c r="P84" s="37"/>
      <c r="Q84" s="37"/>
      <c r="R84" s="37"/>
      <c r="S84" s="37"/>
      <c r="T84" s="330">
        <v>0</v>
      </c>
      <c r="U84" s="331"/>
      <c r="V84" s="95"/>
      <c r="W84" s="118"/>
      <c r="X84" s="2"/>
    </row>
    <row r="85" spans="2:49">
      <c r="B85" s="7"/>
      <c r="C85" s="72" t="s">
        <v>132</v>
      </c>
      <c r="D85" s="37"/>
      <c r="E85" s="37"/>
      <c r="F85" s="37"/>
      <c r="G85" s="37"/>
      <c r="H85" s="37"/>
      <c r="I85" s="37"/>
      <c r="J85" s="37"/>
      <c r="K85" s="37"/>
      <c r="L85" s="37"/>
      <c r="M85" s="37"/>
      <c r="N85" s="37"/>
      <c r="O85" s="37"/>
      <c r="P85" s="37"/>
      <c r="Q85" s="37"/>
      <c r="R85" s="37"/>
      <c r="S85" s="37"/>
      <c r="T85" s="423">
        <v>0</v>
      </c>
      <c r="U85" s="424"/>
      <c r="V85" s="119"/>
      <c r="W85" s="118"/>
      <c r="X85" s="2"/>
    </row>
    <row r="86" spans="2:49">
      <c r="B86" s="7"/>
      <c r="C86" s="72" t="s">
        <v>133</v>
      </c>
      <c r="D86" s="37"/>
      <c r="E86" s="37"/>
      <c r="F86" s="37"/>
      <c r="G86" s="37"/>
      <c r="H86" s="37"/>
      <c r="I86" s="37"/>
      <c r="J86" s="37"/>
      <c r="K86" s="37"/>
      <c r="L86" s="37"/>
      <c r="M86" s="37"/>
      <c r="N86" s="37"/>
      <c r="O86" s="37"/>
      <c r="P86" s="37"/>
      <c r="Q86" s="37"/>
      <c r="R86" s="37"/>
      <c r="S86" s="37"/>
      <c r="T86" s="330">
        <f>SUM(T87:T89)</f>
        <v>98954905.920000002</v>
      </c>
      <c r="U86" s="331"/>
      <c r="V86" s="95"/>
      <c r="W86" s="118"/>
      <c r="X86" s="2"/>
    </row>
    <row r="87" spans="2:49">
      <c r="B87" s="7"/>
      <c r="C87" s="112" t="s">
        <v>134</v>
      </c>
      <c r="D87" s="37"/>
      <c r="E87" s="37"/>
      <c r="F87" s="37"/>
      <c r="G87" s="37"/>
      <c r="H87" s="37"/>
      <c r="I87" s="37"/>
      <c r="J87" s="37"/>
      <c r="K87" s="37"/>
      <c r="L87" s="37"/>
      <c r="M87" s="37"/>
      <c r="N87" s="37"/>
      <c r="O87" s="37"/>
      <c r="P87" s="37"/>
      <c r="Q87" s="37"/>
      <c r="R87" s="37"/>
      <c r="S87" s="37"/>
      <c r="T87" s="97">
        <f>'Servicer Report'!J27</f>
        <v>0</v>
      </c>
      <c r="U87" s="120"/>
      <c r="V87" s="120"/>
      <c r="W87" s="118"/>
      <c r="X87" s="2"/>
      <c r="Z87" s="26"/>
    </row>
    <row r="88" spans="2:49">
      <c r="B88" s="7"/>
      <c r="C88" s="112" t="s">
        <v>135</v>
      </c>
      <c r="D88" s="37"/>
      <c r="E88" s="37"/>
      <c r="F88" s="37"/>
      <c r="G88" s="37"/>
      <c r="H88" s="37"/>
      <c r="I88" s="37"/>
      <c r="J88" s="37"/>
      <c r="K88" s="37"/>
      <c r="L88" s="37"/>
      <c r="M88" s="37"/>
      <c r="N88" s="37"/>
      <c r="O88" s="37"/>
      <c r="P88" s="37"/>
      <c r="Q88" s="37"/>
      <c r="R88" s="37"/>
      <c r="S88" s="37"/>
      <c r="T88" s="97">
        <f>'Servicer Report'!J28</f>
        <v>98954905.920000002</v>
      </c>
      <c r="U88" s="120"/>
      <c r="V88" s="120"/>
      <c r="W88" s="118"/>
      <c r="X88" s="2"/>
      <c r="Z88" s="26"/>
      <c r="AB88" s="6"/>
    </row>
    <row r="89" spans="2:49">
      <c r="B89" s="7"/>
      <c r="C89" s="112" t="s">
        <v>136</v>
      </c>
      <c r="D89" s="37"/>
      <c r="E89" s="37"/>
      <c r="F89" s="37"/>
      <c r="G89" s="37"/>
      <c r="H89" s="37"/>
      <c r="I89" s="37"/>
      <c r="J89" s="37"/>
      <c r="K89" s="37"/>
      <c r="L89" s="37"/>
      <c r="M89" s="37"/>
      <c r="N89" s="37"/>
      <c r="O89" s="37"/>
      <c r="P89" s="37"/>
      <c r="Q89" s="37"/>
      <c r="R89" s="37"/>
      <c r="S89" s="37"/>
      <c r="T89" s="97">
        <v>0</v>
      </c>
      <c r="U89" s="121"/>
      <c r="V89" s="121"/>
      <c r="W89" s="118"/>
      <c r="X89" s="2"/>
      <c r="AB89" s="8"/>
    </row>
    <row r="90" spans="2:49">
      <c r="B90" s="7"/>
      <c r="C90" s="72" t="s">
        <v>137</v>
      </c>
      <c r="D90" s="37"/>
      <c r="E90" s="37"/>
      <c r="F90" s="37"/>
      <c r="G90" s="37"/>
      <c r="H90" s="37"/>
      <c r="I90" s="37"/>
      <c r="J90" s="37"/>
      <c r="K90" s="37"/>
      <c r="L90" s="37"/>
      <c r="M90" s="37"/>
      <c r="N90" s="37"/>
      <c r="O90" s="37"/>
      <c r="P90" s="37"/>
      <c r="Q90" s="37"/>
      <c r="R90" s="37"/>
      <c r="S90" s="37"/>
      <c r="T90" s="330">
        <f>'Servicer Report'!J30</f>
        <v>6807604.6700000018</v>
      </c>
      <c r="U90" s="331"/>
      <c r="V90" s="95"/>
      <c r="W90" s="118"/>
      <c r="X90" s="2"/>
      <c r="Z90" s="8"/>
      <c r="AB90" s="6"/>
    </row>
    <row r="91" spans="2:49">
      <c r="B91" s="7"/>
      <c r="C91" s="72" t="s">
        <v>138</v>
      </c>
      <c r="D91" s="37"/>
      <c r="E91" s="37"/>
      <c r="F91" s="37"/>
      <c r="G91" s="37"/>
      <c r="H91" s="37"/>
      <c r="I91" s="37"/>
      <c r="J91" s="37"/>
      <c r="K91" s="37"/>
      <c r="L91" s="37"/>
      <c r="M91" s="37"/>
      <c r="N91" s="37"/>
      <c r="O91" s="37"/>
      <c r="P91" s="37"/>
      <c r="Q91" s="37"/>
      <c r="R91" s="37"/>
      <c r="S91" s="37"/>
      <c r="T91" s="330">
        <v>0</v>
      </c>
      <c r="U91" s="331"/>
      <c r="V91" s="95"/>
      <c r="W91" s="118"/>
      <c r="X91" s="2"/>
    </row>
    <row r="92" spans="2:49">
      <c r="B92" s="7"/>
      <c r="C92" s="72" t="s">
        <v>139</v>
      </c>
      <c r="D92" s="37"/>
      <c r="E92" s="37"/>
      <c r="F92" s="37"/>
      <c r="G92" s="37"/>
      <c r="H92" s="37"/>
      <c r="I92" s="37"/>
      <c r="J92" s="37"/>
      <c r="K92" s="37"/>
      <c r="L92" s="37"/>
      <c r="M92" s="37"/>
      <c r="N92" s="37"/>
      <c r="O92" s="37"/>
      <c r="P92" s="37"/>
      <c r="Q92" s="37"/>
      <c r="R92" s="37"/>
      <c r="S92" s="37"/>
      <c r="T92" s="330">
        <v>0</v>
      </c>
      <c r="U92" s="331"/>
      <c r="V92" s="95"/>
      <c r="W92" s="118"/>
      <c r="X92" s="2"/>
      <c r="AB92" s="8"/>
    </row>
    <row r="93" spans="2:49" ht="15" thickBot="1">
      <c r="B93" s="7"/>
      <c r="C93" s="72" t="s">
        <v>140</v>
      </c>
      <c r="D93" s="37"/>
      <c r="E93" s="37"/>
      <c r="F93" s="37"/>
      <c r="G93" s="37"/>
      <c r="H93" s="37"/>
      <c r="I93" s="37"/>
      <c r="J93" s="37"/>
      <c r="K93" s="37"/>
      <c r="L93" s="37"/>
      <c r="M93" s="37"/>
      <c r="N93" s="37"/>
      <c r="O93" s="37"/>
      <c r="P93" s="37"/>
      <c r="Q93" s="37"/>
      <c r="R93" s="37"/>
      <c r="S93" s="37"/>
      <c r="T93" s="330">
        <v>0</v>
      </c>
      <c r="U93" s="331"/>
      <c r="V93" s="95"/>
      <c r="W93" s="118"/>
      <c r="X93" s="2"/>
    </row>
    <row r="94" spans="2:49" ht="15" thickBot="1">
      <c r="B94" s="7"/>
      <c r="C94" s="425" t="s">
        <v>141</v>
      </c>
      <c r="D94" s="426"/>
      <c r="E94" s="426"/>
      <c r="F94" s="426"/>
      <c r="G94" s="426"/>
      <c r="H94" s="426"/>
      <c r="I94" s="426"/>
      <c r="J94" s="426"/>
      <c r="K94" s="426"/>
      <c r="L94" s="426"/>
      <c r="M94" s="426"/>
      <c r="N94" s="426"/>
      <c r="O94" s="426"/>
      <c r="P94" s="426"/>
      <c r="Q94" s="426"/>
      <c r="R94" s="426"/>
      <c r="S94" s="426"/>
      <c r="T94" s="426"/>
      <c r="U94" s="426"/>
      <c r="V94" s="426"/>
      <c r="W94" s="427"/>
      <c r="X94" s="2"/>
    </row>
    <row r="95" spans="2:49">
      <c r="B95" s="7"/>
      <c r="C95" s="117" t="s">
        <v>142</v>
      </c>
      <c r="D95" s="37"/>
      <c r="E95" s="37"/>
      <c r="F95" s="37"/>
      <c r="G95" s="37"/>
      <c r="H95" s="37"/>
      <c r="I95" s="37"/>
      <c r="J95" s="37"/>
      <c r="K95" s="37"/>
      <c r="L95" s="37"/>
      <c r="M95" s="37"/>
      <c r="N95" s="37"/>
      <c r="O95" s="37"/>
      <c r="P95" s="37"/>
      <c r="Q95" s="37"/>
      <c r="R95" s="37"/>
      <c r="S95" s="37"/>
      <c r="T95" s="428">
        <f>SUM(T96:U99)</f>
        <v>121726147.67811665</v>
      </c>
      <c r="U95" s="429"/>
      <c r="V95" s="429"/>
      <c r="W95" s="430"/>
      <c r="X95" s="2"/>
      <c r="Y95" s="90"/>
      <c r="Z95" s="26"/>
    </row>
    <row r="96" spans="2:49">
      <c r="B96" s="7"/>
      <c r="C96" s="72" t="s">
        <v>143</v>
      </c>
      <c r="D96" s="37"/>
      <c r="E96" s="37"/>
      <c r="F96" s="37"/>
      <c r="G96" s="37"/>
      <c r="H96" s="37"/>
      <c r="I96" s="37"/>
      <c r="J96" s="37"/>
      <c r="K96" s="37"/>
      <c r="L96" s="37"/>
      <c r="M96" s="37"/>
      <c r="N96" s="37"/>
      <c r="O96" s="37"/>
      <c r="P96" s="37"/>
      <c r="Q96" s="37"/>
      <c r="R96" s="37"/>
      <c r="S96" s="37"/>
      <c r="T96" s="330">
        <f>T56</f>
        <v>1060506.8669928312</v>
      </c>
      <c r="U96" s="331"/>
      <c r="V96" s="95"/>
      <c r="W96" s="2"/>
      <c r="X96" s="2"/>
      <c r="Y96" s="90"/>
      <c r="Z96" s="26"/>
      <c r="AC96" s="26"/>
      <c r="AK96" s="6"/>
      <c r="AW96" s="26">
        <f>SUM(AW98:AW103)</f>
        <v>3230754.9668253167</v>
      </c>
    </row>
    <row r="97" spans="2:50">
      <c r="B97" s="7"/>
      <c r="C97" s="72" t="s">
        <v>144</v>
      </c>
      <c r="D97" s="37"/>
      <c r="E97" s="37"/>
      <c r="F97" s="37"/>
      <c r="G97" s="37"/>
      <c r="H97" s="37"/>
      <c r="I97" s="37"/>
      <c r="J97" s="37"/>
      <c r="K97" s="37"/>
      <c r="L97" s="37"/>
      <c r="M97" s="37"/>
      <c r="N97" s="37"/>
      <c r="O97" s="37"/>
      <c r="P97" s="37"/>
      <c r="Q97" s="37"/>
      <c r="R97" s="37"/>
      <c r="S97" s="37"/>
      <c r="T97" s="330">
        <f>T60+T63+T66-T83+U58+T81-T99</f>
        <v>87445862.811123818</v>
      </c>
      <c r="U97" s="331"/>
      <c r="V97" s="95"/>
      <c r="W97" s="2"/>
      <c r="X97" s="2"/>
      <c r="Y97" s="90"/>
      <c r="Z97" s="26"/>
      <c r="AA97" s="8"/>
      <c r="AB97" s="90"/>
      <c r="AL97" s="8"/>
      <c r="AR97" s="90"/>
    </row>
    <row r="98" spans="2:50">
      <c r="B98" s="7"/>
      <c r="C98" s="72" t="s">
        <v>106</v>
      </c>
      <c r="D98" s="37"/>
      <c r="E98" s="37"/>
      <c r="F98" s="37"/>
      <c r="G98" s="37"/>
      <c r="H98" s="37"/>
      <c r="I98" s="37"/>
      <c r="J98" s="37"/>
      <c r="K98" s="37"/>
      <c r="L98" s="37"/>
      <c r="M98" s="37"/>
      <c r="N98" s="37"/>
      <c r="O98" s="37"/>
      <c r="P98" s="37"/>
      <c r="Q98" s="37"/>
      <c r="R98" s="37"/>
      <c r="S98" s="37"/>
      <c r="T98" s="330">
        <f>Q204</f>
        <v>0</v>
      </c>
      <c r="U98" s="331"/>
      <c r="V98" s="95"/>
      <c r="W98" s="2"/>
      <c r="X98" s="2"/>
      <c r="Y98" s="6"/>
      <c r="AB98" s="91"/>
      <c r="AC98" s="26"/>
      <c r="AK98" s="90"/>
      <c r="AW98" s="122">
        <v>1792956.4168253168</v>
      </c>
      <c r="AX98" s="1" t="s">
        <v>145</v>
      </c>
    </row>
    <row r="99" spans="2:50" ht="15" thickBot="1">
      <c r="B99" s="7"/>
      <c r="C99" s="123" t="s">
        <v>107</v>
      </c>
      <c r="D99" s="124"/>
      <c r="E99" s="124"/>
      <c r="F99" s="124"/>
      <c r="G99" s="124"/>
      <c r="H99" s="124"/>
      <c r="I99" s="124"/>
      <c r="J99" s="124"/>
      <c r="K99" s="124"/>
      <c r="L99" s="124"/>
      <c r="M99" s="124"/>
      <c r="N99" s="124"/>
      <c r="O99" s="124"/>
      <c r="P99" s="124"/>
      <c r="Q99" s="124"/>
      <c r="R99" s="124"/>
      <c r="S99" s="124"/>
      <c r="T99" s="431">
        <f>Q190</f>
        <v>33219778</v>
      </c>
      <c r="U99" s="432"/>
      <c r="V99" s="125"/>
      <c r="W99" s="126"/>
      <c r="X99" s="2"/>
      <c r="Y99" s="90"/>
      <c r="AA99" s="6"/>
      <c r="AR99" s="90">
        <v>-784721.51</v>
      </c>
      <c r="AW99" s="96">
        <v>1619000</v>
      </c>
      <c r="AX99" s="1" t="s">
        <v>146</v>
      </c>
    </row>
    <row r="100" spans="2:50" ht="15" thickBot="1">
      <c r="B100" s="7"/>
      <c r="C100" s="127"/>
      <c r="D100" s="9"/>
      <c r="E100" s="9"/>
      <c r="F100" s="9"/>
      <c r="G100" s="9"/>
      <c r="H100" s="9"/>
      <c r="I100" s="9"/>
      <c r="J100" s="9"/>
      <c r="K100" s="9"/>
      <c r="L100" s="9"/>
      <c r="M100" s="9"/>
      <c r="N100" s="9"/>
      <c r="O100" s="9"/>
      <c r="P100" s="9"/>
      <c r="Q100" s="9"/>
      <c r="R100" s="9"/>
      <c r="S100" s="9"/>
      <c r="T100" s="9"/>
      <c r="U100" s="9"/>
      <c r="V100" s="9"/>
      <c r="W100" s="2"/>
      <c r="X100" s="2"/>
      <c r="Y100" s="6"/>
      <c r="AA100" s="6"/>
      <c r="AB100" s="91"/>
      <c r="AK100" s="91"/>
      <c r="AR100" s="90">
        <v>-464085.67</v>
      </c>
      <c r="AW100" s="99">
        <v>-99442.12</v>
      </c>
      <c r="AX100" s="26" t="s">
        <v>147</v>
      </c>
    </row>
    <row r="101" spans="2:50" ht="15" thickBot="1">
      <c r="B101" s="7"/>
      <c r="C101" s="280" t="s">
        <v>148</v>
      </c>
      <c r="D101" s="281"/>
      <c r="E101" s="281"/>
      <c r="F101" s="281"/>
      <c r="G101" s="281"/>
      <c r="H101" s="281"/>
      <c r="I101" s="281"/>
      <c r="J101" s="281"/>
      <c r="K101" s="281"/>
      <c r="L101" s="281"/>
      <c r="M101" s="281"/>
      <c r="N101" s="281"/>
      <c r="O101" s="281"/>
      <c r="P101" s="281"/>
      <c r="Q101" s="281"/>
      <c r="R101" s="281"/>
      <c r="S101" s="281"/>
      <c r="T101" s="281"/>
      <c r="U101" s="281"/>
      <c r="V101" s="281"/>
      <c r="W101" s="282"/>
      <c r="X101" s="2"/>
      <c r="Y101" s="6"/>
      <c r="AA101" s="6"/>
      <c r="AD101" s="6"/>
      <c r="AK101" s="6">
        <v>11300</v>
      </c>
      <c r="AL101" s="1" t="s">
        <v>149</v>
      </c>
      <c r="AR101" s="90">
        <v>6396.33</v>
      </c>
      <c r="AW101" s="102">
        <v>-49008.75</v>
      </c>
      <c r="AX101" s="1" t="s">
        <v>150</v>
      </c>
    </row>
    <row r="102" spans="2:50">
      <c r="B102" s="7"/>
      <c r="C102" s="117" t="s">
        <v>151</v>
      </c>
      <c r="D102" s="128"/>
      <c r="E102" s="128"/>
      <c r="F102" s="128"/>
      <c r="G102" s="128"/>
      <c r="H102" s="128"/>
      <c r="I102" s="128"/>
      <c r="J102" s="128"/>
      <c r="K102" s="128"/>
      <c r="L102" s="128"/>
      <c r="M102" s="128"/>
      <c r="N102" s="128"/>
      <c r="O102" s="128"/>
      <c r="P102" s="128"/>
      <c r="Q102" s="128"/>
      <c r="R102" s="128"/>
      <c r="S102" s="129"/>
      <c r="T102" s="420">
        <f>T103+T104+T105-T106+T107+T108</f>
        <v>37485418.830000013</v>
      </c>
      <c r="U102" s="421"/>
      <c r="V102" s="421"/>
      <c r="W102" s="422"/>
      <c r="X102" s="2"/>
      <c r="Y102" s="6"/>
      <c r="AA102" s="6"/>
      <c r="AB102" s="6"/>
      <c r="AC102" s="26"/>
      <c r="AD102" s="6"/>
      <c r="AK102" s="130">
        <f>-38304.7</f>
        <v>-38304.699999999997</v>
      </c>
      <c r="AL102" s="1" t="s">
        <v>152</v>
      </c>
      <c r="AR102" s="90">
        <f>-338863.79</f>
        <v>-338863.79</v>
      </c>
      <c r="AW102" s="99">
        <v>2122.52</v>
      </c>
      <c r="AX102" s="1" t="s">
        <v>153</v>
      </c>
    </row>
    <row r="103" spans="2:50">
      <c r="B103" s="7"/>
      <c r="C103" s="72" t="s">
        <v>154</v>
      </c>
      <c r="D103" s="37"/>
      <c r="E103" s="37"/>
      <c r="F103" s="37"/>
      <c r="G103" s="37"/>
      <c r="H103" s="37"/>
      <c r="I103" s="37"/>
      <c r="J103" s="37"/>
      <c r="K103" s="37"/>
      <c r="L103" s="37"/>
      <c r="M103" s="37"/>
      <c r="N103" s="37"/>
      <c r="O103" s="37"/>
      <c r="P103" s="37"/>
      <c r="Q103" s="37"/>
      <c r="R103" s="37"/>
      <c r="S103" s="105"/>
      <c r="T103" s="423">
        <f>U67+U68+T81+T76+T77-T88</f>
        <v>44293023.500000015</v>
      </c>
      <c r="U103" s="424"/>
      <c r="V103" s="95"/>
      <c r="W103" s="70"/>
      <c r="X103" s="2"/>
      <c r="Y103" s="8"/>
      <c r="AA103" s="6"/>
      <c r="AB103" s="6"/>
      <c r="AC103" s="26"/>
      <c r="AD103" s="6"/>
      <c r="AK103" s="8">
        <v>1299.8499999999999</v>
      </c>
      <c r="AL103" s="1" t="s">
        <v>155</v>
      </c>
      <c r="AR103" s="6">
        <v>-15500</v>
      </c>
      <c r="AW103" s="103">
        <v>-34873.1</v>
      </c>
      <c r="AX103" s="131" t="s">
        <v>156</v>
      </c>
    </row>
    <row r="104" spans="2:50">
      <c r="B104" s="7"/>
      <c r="C104" s="72" t="s">
        <v>157</v>
      </c>
      <c r="D104" s="37"/>
      <c r="E104" s="37"/>
      <c r="F104" s="37"/>
      <c r="G104" s="37"/>
      <c r="H104" s="37"/>
      <c r="I104" s="37"/>
      <c r="J104" s="37"/>
      <c r="K104" s="37"/>
      <c r="L104" s="37"/>
      <c r="M104" s="37"/>
      <c r="N104" s="37"/>
      <c r="O104" s="37"/>
      <c r="P104" s="37"/>
      <c r="Q104" s="37"/>
      <c r="R104" s="37"/>
      <c r="S104" s="105"/>
      <c r="T104" s="328">
        <f>IF('Servicer Report'!L59&gt;'Servicer Report'!I59,'Servicer Report'!L59*50%,0)</f>
        <v>0</v>
      </c>
      <c r="U104" s="329"/>
      <c r="V104" s="132"/>
      <c r="W104" s="111"/>
      <c r="X104" s="2"/>
      <c r="Y104" s="6"/>
      <c r="AA104" s="133"/>
      <c r="AC104" s="26"/>
      <c r="AD104" s="6"/>
      <c r="AK104" s="6">
        <v>6396.33</v>
      </c>
      <c r="AL104" s="1" t="s">
        <v>158</v>
      </c>
    </row>
    <row r="105" spans="2:50">
      <c r="B105" s="7"/>
      <c r="C105" s="72" t="s">
        <v>159</v>
      </c>
      <c r="D105" s="37"/>
      <c r="E105" s="37"/>
      <c r="F105" s="37"/>
      <c r="G105" s="37"/>
      <c r="H105" s="37"/>
      <c r="I105" s="37"/>
      <c r="J105" s="37"/>
      <c r="K105" s="37"/>
      <c r="L105" s="37"/>
      <c r="M105" s="37"/>
      <c r="N105" s="37"/>
      <c r="O105" s="37"/>
      <c r="P105" s="37"/>
      <c r="Q105" s="37"/>
      <c r="R105" s="37"/>
      <c r="S105" s="105"/>
      <c r="T105" s="328">
        <v>0</v>
      </c>
      <c r="U105" s="329"/>
      <c r="V105" s="132"/>
      <c r="W105" s="111"/>
      <c r="X105" s="2"/>
      <c r="Y105" s="6"/>
      <c r="AA105" s="8"/>
      <c r="AB105" s="8"/>
      <c r="AD105" s="6"/>
      <c r="AR105" s="6">
        <v>-2265997.25</v>
      </c>
    </row>
    <row r="106" spans="2:50">
      <c r="B106" s="7"/>
      <c r="C106" s="72" t="s">
        <v>160</v>
      </c>
      <c r="D106" s="37"/>
      <c r="E106" s="37"/>
      <c r="F106" s="37"/>
      <c r="G106" s="37"/>
      <c r="H106" s="37"/>
      <c r="I106" s="37"/>
      <c r="J106" s="37"/>
      <c r="K106" s="37"/>
      <c r="L106" s="37"/>
      <c r="M106" s="37"/>
      <c r="N106" s="37"/>
      <c r="O106" s="37"/>
      <c r="P106" s="37"/>
      <c r="Q106" s="37"/>
      <c r="R106" s="37"/>
      <c r="S106" s="105"/>
      <c r="T106" s="328">
        <f>'Servicer Report'!J30</f>
        <v>6807604.6700000018</v>
      </c>
      <c r="U106" s="329"/>
      <c r="V106" s="132"/>
      <c r="W106" s="111"/>
      <c r="X106" s="2"/>
      <c r="Z106" s="8"/>
      <c r="AA106" s="91"/>
      <c r="AR106" s="6">
        <f>-8146.11-69718-38254.37</f>
        <v>-116118.48000000001</v>
      </c>
    </row>
    <row r="107" spans="2:50">
      <c r="B107" s="7"/>
      <c r="C107" s="72" t="s">
        <v>161</v>
      </c>
      <c r="D107" s="37"/>
      <c r="E107" s="37"/>
      <c r="F107" s="37"/>
      <c r="G107" s="37"/>
      <c r="H107" s="37"/>
      <c r="I107" s="37"/>
      <c r="J107" s="37"/>
      <c r="K107" s="37"/>
      <c r="L107" s="37"/>
      <c r="M107" s="37"/>
      <c r="N107" s="37"/>
      <c r="O107" s="37"/>
      <c r="P107" s="37"/>
      <c r="Q107" s="37"/>
      <c r="R107" s="37"/>
      <c r="S107" s="105"/>
      <c r="T107" s="330">
        <v>0</v>
      </c>
      <c r="U107" s="331"/>
      <c r="V107" s="95"/>
      <c r="W107" s="111"/>
      <c r="X107" s="2"/>
      <c r="AA107" s="91"/>
      <c r="AB107" s="6"/>
      <c r="AR107" s="90">
        <f>SUM(AR99:AR106)</f>
        <v>-3978890.3699999996</v>
      </c>
    </row>
    <row r="108" spans="2:50" ht="15" thickBot="1">
      <c r="B108" s="7"/>
      <c r="C108" s="123" t="s">
        <v>162</v>
      </c>
      <c r="D108" s="124"/>
      <c r="E108" s="124"/>
      <c r="F108" s="124"/>
      <c r="G108" s="124"/>
      <c r="H108" s="124"/>
      <c r="I108" s="124"/>
      <c r="J108" s="124"/>
      <c r="K108" s="124"/>
      <c r="L108" s="124"/>
      <c r="M108" s="124"/>
      <c r="N108" s="124"/>
      <c r="O108" s="124"/>
      <c r="P108" s="124"/>
      <c r="Q108" s="124"/>
      <c r="R108" s="124"/>
      <c r="S108" s="134"/>
      <c r="T108" s="414">
        <v>0</v>
      </c>
      <c r="U108" s="415"/>
      <c r="V108" s="135"/>
      <c r="W108" s="136"/>
      <c r="X108" s="2"/>
      <c r="Y108" s="8"/>
      <c r="AA108" s="6"/>
    </row>
    <row r="109" spans="2:50" ht="15" thickBot="1">
      <c r="B109" s="7"/>
      <c r="C109" s="127"/>
      <c r="D109" s="9"/>
      <c r="E109" s="9"/>
      <c r="F109" s="9"/>
      <c r="G109" s="9"/>
      <c r="H109" s="9"/>
      <c r="I109" s="9"/>
      <c r="J109" s="9"/>
      <c r="K109" s="137"/>
      <c r="L109" s="137"/>
      <c r="M109" s="137"/>
      <c r="N109" s="137"/>
      <c r="O109" s="137"/>
      <c r="P109" s="137"/>
      <c r="Q109" s="137"/>
      <c r="R109" s="137"/>
      <c r="S109" s="137"/>
      <c r="T109" s="137"/>
      <c r="U109" s="137"/>
      <c r="V109" s="138"/>
      <c r="W109" s="2"/>
      <c r="X109" s="2"/>
    </row>
    <row r="110" spans="2:50" ht="15" thickBot="1">
      <c r="B110" s="7"/>
      <c r="C110" s="280" t="s">
        <v>163</v>
      </c>
      <c r="D110" s="281"/>
      <c r="E110" s="281"/>
      <c r="F110" s="281"/>
      <c r="G110" s="281"/>
      <c r="H110" s="281"/>
      <c r="I110" s="281"/>
      <c r="J110" s="281"/>
      <c r="K110" s="281"/>
      <c r="L110" s="281"/>
      <c r="M110" s="281"/>
      <c r="N110" s="281"/>
      <c r="O110" s="281"/>
      <c r="P110" s="281"/>
      <c r="Q110" s="281"/>
      <c r="R110" s="281"/>
      <c r="S110" s="281"/>
      <c r="T110" s="281"/>
      <c r="U110" s="281"/>
      <c r="V110" s="281"/>
      <c r="W110" s="282"/>
      <c r="X110" s="2"/>
      <c r="Y110" s="8"/>
      <c r="AA110" s="8"/>
      <c r="AC110" s="8"/>
    </row>
    <row r="111" spans="2:50">
      <c r="B111" s="7"/>
      <c r="C111" s="139" t="s">
        <v>164</v>
      </c>
      <c r="D111" s="13"/>
      <c r="E111" s="13"/>
      <c r="F111" s="13"/>
      <c r="G111" s="13"/>
      <c r="H111" s="13"/>
      <c r="I111" s="13"/>
      <c r="J111" s="13"/>
      <c r="K111" s="13"/>
      <c r="L111" s="13"/>
      <c r="M111" s="13"/>
      <c r="N111" s="13"/>
      <c r="O111" s="13"/>
      <c r="P111" s="13"/>
      <c r="Q111" s="13"/>
      <c r="R111" s="13"/>
      <c r="S111" s="140"/>
      <c r="T111" s="346">
        <f>T102</f>
        <v>37485418.830000013</v>
      </c>
      <c r="U111" s="347"/>
      <c r="V111" s="347"/>
      <c r="W111" s="416"/>
      <c r="X111" s="2"/>
      <c r="Z111" s="90"/>
    </row>
    <row r="112" spans="2:50">
      <c r="B112" s="7"/>
      <c r="C112" s="142" t="s">
        <v>165</v>
      </c>
      <c r="D112" s="22"/>
      <c r="E112" s="22"/>
      <c r="F112" s="22"/>
      <c r="G112" s="22"/>
      <c r="H112" s="22"/>
      <c r="I112" s="22"/>
      <c r="J112" s="22"/>
      <c r="K112" s="22"/>
      <c r="L112" s="22"/>
      <c r="M112" s="22"/>
      <c r="N112" s="22"/>
      <c r="O112" s="22"/>
      <c r="P112" s="22"/>
      <c r="Q112" s="22"/>
      <c r="R112" s="22"/>
      <c r="S112" s="143"/>
      <c r="T112" s="417">
        <f>P159</f>
        <v>82212319.952422231</v>
      </c>
      <c r="U112" s="418"/>
      <c r="V112" s="418"/>
      <c r="W112" s="419"/>
      <c r="X112" s="2"/>
    </row>
    <row r="113" spans="2:29" ht="15" thickBot="1">
      <c r="B113" s="7"/>
      <c r="C113" s="144" t="s">
        <v>166</v>
      </c>
      <c r="D113" s="28"/>
      <c r="E113" s="28"/>
      <c r="F113" s="28"/>
      <c r="G113" s="28"/>
      <c r="H113" s="28"/>
      <c r="I113" s="28"/>
      <c r="J113" s="28"/>
      <c r="K113" s="28"/>
      <c r="L113" s="28"/>
      <c r="M113" s="28"/>
      <c r="N113" s="28"/>
      <c r="O113" s="28"/>
      <c r="P113" s="28"/>
      <c r="Q113" s="28"/>
      <c r="R113" s="28"/>
      <c r="S113" s="145"/>
      <c r="T113" s="320">
        <f>MAX(T111-T112,0)</f>
        <v>0</v>
      </c>
      <c r="U113" s="321"/>
      <c r="V113" s="321"/>
      <c r="W113" s="322"/>
      <c r="X113" s="2"/>
      <c r="Y113" s="8"/>
      <c r="Z113" s="6"/>
      <c r="AC113" s="8"/>
    </row>
    <row r="114" spans="2:29" ht="15" thickBot="1">
      <c r="B114" s="7"/>
      <c r="C114" s="127"/>
      <c r="D114" s="9"/>
      <c r="E114" s="9"/>
      <c r="F114" s="9"/>
      <c r="G114" s="9"/>
      <c r="H114" s="9"/>
      <c r="I114" s="9"/>
      <c r="J114" s="9"/>
      <c r="K114" s="9"/>
      <c r="L114" s="9"/>
      <c r="M114" s="9"/>
      <c r="N114" s="9"/>
      <c r="O114" s="9"/>
      <c r="P114" s="9"/>
      <c r="Q114" s="137"/>
      <c r="R114" s="137"/>
      <c r="S114" s="137"/>
      <c r="T114" s="137"/>
      <c r="U114" s="137"/>
      <c r="V114" s="138"/>
      <c r="W114" s="2"/>
      <c r="X114" s="2"/>
      <c r="Z114" s="6"/>
    </row>
    <row r="115" spans="2:29" ht="15" thickBot="1">
      <c r="B115" s="7"/>
      <c r="C115" s="280" t="s">
        <v>167</v>
      </c>
      <c r="D115" s="281"/>
      <c r="E115" s="281"/>
      <c r="F115" s="281"/>
      <c r="G115" s="281"/>
      <c r="H115" s="281"/>
      <c r="I115" s="281"/>
      <c r="J115" s="281"/>
      <c r="K115" s="281"/>
      <c r="L115" s="281"/>
      <c r="M115" s="281"/>
      <c r="N115" s="281"/>
      <c r="O115" s="281"/>
      <c r="P115" s="281"/>
      <c r="Q115" s="281"/>
      <c r="R115" s="281"/>
      <c r="S115" s="281"/>
      <c r="T115" s="281"/>
      <c r="U115" s="281"/>
      <c r="V115" s="281"/>
      <c r="W115" s="282"/>
      <c r="X115" s="2"/>
      <c r="Z115" s="6"/>
    </row>
    <row r="116" spans="2:29">
      <c r="B116" s="7"/>
      <c r="C116" s="146"/>
      <c r="D116" s="147"/>
      <c r="E116" s="147"/>
      <c r="F116" s="147"/>
      <c r="G116" s="147"/>
      <c r="H116" s="147"/>
      <c r="I116" s="147"/>
      <c r="J116" s="147"/>
      <c r="K116" s="147"/>
      <c r="L116" s="403" t="s">
        <v>168</v>
      </c>
      <c r="M116" s="404"/>
      <c r="N116" s="405"/>
      <c r="O116" s="406" t="s">
        <v>169</v>
      </c>
      <c r="P116" s="407"/>
      <c r="Q116" s="408"/>
      <c r="R116" s="406" t="s">
        <v>170</v>
      </c>
      <c r="S116" s="407"/>
      <c r="T116" s="408"/>
      <c r="U116" s="406" t="s">
        <v>171</v>
      </c>
      <c r="V116" s="407"/>
      <c r="W116" s="409"/>
      <c r="X116" s="2"/>
    </row>
    <row r="117" spans="2:29">
      <c r="B117" s="7"/>
      <c r="C117" s="142" t="s">
        <v>172</v>
      </c>
      <c r="D117" s="33"/>
      <c r="E117" s="33"/>
      <c r="F117" s="33"/>
      <c r="G117" s="33"/>
      <c r="H117" s="33"/>
      <c r="I117" s="33"/>
      <c r="J117" s="33"/>
      <c r="K117" s="33"/>
      <c r="L117" s="410">
        <v>0</v>
      </c>
      <c r="M117" s="411"/>
      <c r="N117" s="412"/>
      <c r="O117" s="410">
        <v>0</v>
      </c>
      <c r="P117" s="411"/>
      <c r="Q117" s="412"/>
      <c r="R117" s="410" t="s">
        <v>173</v>
      </c>
      <c r="S117" s="411"/>
      <c r="T117" s="412"/>
      <c r="U117" s="410" t="s">
        <v>173</v>
      </c>
      <c r="V117" s="411"/>
      <c r="W117" s="413"/>
      <c r="X117" s="2"/>
    </row>
    <row r="118" spans="2:29" ht="15" thickBot="1">
      <c r="B118" s="7"/>
      <c r="C118" s="144" t="s">
        <v>174</v>
      </c>
      <c r="D118" s="124"/>
      <c r="E118" s="124"/>
      <c r="F118" s="124"/>
      <c r="G118" s="124"/>
      <c r="H118" s="124"/>
      <c r="I118" s="124"/>
      <c r="J118" s="124"/>
      <c r="K118" s="124"/>
      <c r="L118" s="399">
        <v>0</v>
      </c>
      <c r="M118" s="400"/>
      <c r="N118" s="401"/>
      <c r="O118" s="399">
        <v>0</v>
      </c>
      <c r="P118" s="400"/>
      <c r="Q118" s="401"/>
      <c r="R118" s="399" t="s">
        <v>173</v>
      </c>
      <c r="S118" s="400"/>
      <c r="T118" s="401"/>
      <c r="U118" s="399" t="s">
        <v>173</v>
      </c>
      <c r="V118" s="400"/>
      <c r="W118" s="402"/>
      <c r="X118" s="2"/>
    </row>
    <row r="119" spans="2:29" ht="15" thickBot="1">
      <c r="B119" s="7"/>
      <c r="C119" s="127"/>
      <c r="D119" s="9"/>
      <c r="E119" s="9"/>
      <c r="F119" s="9"/>
      <c r="G119" s="9"/>
      <c r="H119" s="9"/>
      <c r="I119" s="9"/>
      <c r="J119" s="9"/>
      <c r="K119" s="9"/>
      <c r="L119" s="9"/>
      <c r="M119" s="9"/>
      <c r="N119" s="9"/>
      <c r="O119" s="9"/>
      <c r="P119" s="9"/>
      <c r="Q119" s="9"/>
      <c r="R119" s="9"/>
      <c r="S119" s="9"/>
      <c r="T119" s="9"/>
      <c r="U119" s="9"/>
      <c r="V119" s="9"/>
      <c r="W119" s="2"/>
      <c r="X119" s="2"/>
      <c r="Z119" s="6"/>
    </row>
    <row r="120" spans="2:29" ht="15" thickBot="1">
      <c r="B120" s="7"/>
      <c r="C120" s="280" t="s">
        <v>175</v>
      </c>
      <c r="D120" s="281"/>
      <c r="E120" s="281"/>
      <c r="F120" s="281"/>
      <c r="G120" s="281"/>
      <c r="H120" s="281"/>
      <c r="I120" s="281"/>
      <c r="J120" s="281"/>
      <c r="K120" s="281"/>
      <c r="L120" s="281"/>
      <c r="M120" s="281"/>
      <c r="N120" s="281"/>
      <c r="O120" s="281"/>
      <c r="P120" s="281"/>
      <c r="Q120" s="281"/>
      <c r="R120" s="281"/>
      <c r="S120" s="281"/>
      <c r="T120" s="281"/>
      <c r="U120" s="281"/>
      <c r="V120" s="281"/>
      <c r="W120" s="282"/>
      <c r="X120" s="2"/>
      <c r="Z120" s="6"/>
    </row>
    <row r="121" spans="2:29">
      <c r="B121" s="7"/>
      <c r="C121" s="72" t="s">
        <v>176</v>
      </c>
      <c r="D121" s="37"/>
      <c r="E121" s="37"/>
      <c r="F121" s="37"/>
      <c r="G121" s="37"/>
      <c r="H121" s="37"/>
      <c r="I121" s="37"/>
      <c r="J121" s="37"/>
      <c r="K121" s="37"/>
      <c r="L121" s="37"/>
      <c r="M121" s="37"/>
      <c r="N121" s="37"/>
      <c r="O121" s="37"/>
      <c r="P121" s="37"/>
      <c r="Q121" s="37"/>
      <c r="R121" s="37"/>
      <c r="S121" s="37"/>
      <c r="T121" s="395" t="s">
        <v>177</v>
      </c>
      <c r="U121" s="396"/>
      <c r="V121" s="148"/>
      <c r="W121" s="149"/>
      <c r="X121" s="2"/>
    </row>
    <row r="122" spans="2:29">
      <c r="B122" s="7"/>
      <c r="C122" s="72" t="s">
        <v>178</v>
      </c>
      <c r="D122" s="37"/>
      <c r="E122" s="37"/>
      <c r="F122" s="37"/>
      <c r="G122" s="37"/>
      <c r="H122" s="37"/>
      <c r="I122" s="37"/>
      <c r="J122" s="37"/>
      <c r="K122" s="37"/>
      <c r="L122" s="37"/>
      <c r="M122" s="37"/>
      <c r="N122" s="37"/>
      <c r="O122" s="37"/>
      <c r="P122" s="37"/>
      <c r="Q122" s="37"/>
      <c r="R122" s="37"/>
      <c r="S122" s="37"/>
      <c r="T122" s="395" t="s">
        <v>177</v>
      </c>
      <c r="U122" s="396"/>
      <c r="V122" s="148"/>
      <c r="W122" s="149"/>
      <c r="X122" s="2"/>
    </row>
    <row r="123" spans="2:29">
      <c r="B123" s="7"/>
      <c r="C123" s="72" t="s">
        <v>179</v>
      </c>
      <c r="D123" s="37"/>
      <c r="E123" s="37"/>
      <c r="F123" s="37"/>
      <c r="G123" s="37"/>
      <c r="H123" s="37"/>
      <c r="I123" s="37"/>
      <c r="J123" s="37"/>
      <c r="K123" s="37"/>
      <c r="L123" s="37"/>
      <c r="M123" s="37"/>
      <c r="N123" s="37"/>
      <c r="O123" s="37"/>
      <c r="P123" s="37"/>
      <c r="Q123" s="37"/>
      <c r="R123" s="37"/>
      <c r="S123" s="37"/>
      <c r="T123" s="395" t="s">
        <v>173</v>
      </c>
      <c r="U123" s="396"/>
      <c r="V123" s="148"/>
      <c r="W123" s="149"/>
      <c r="X123" s="2"/>
    </row>
    <row r="124" spans="2:29">
      <c r="B124" s="7"/>
      <c r="C124" s="139" t="s">
        <v>180</v>
      </c>
      <c r="D124" s="109"/>
      <c r="E124" s="109"/>
      <c r="F124" s="109"/>
      <c r="G124" s="109"/>
      <c r="H124" s="109"/>
      <c r="I124" s="109"/>
      <c r="J124" s="109"/>
      <c r="K124" s="109"/>
      <c r="L124" s="109"/>
      <c r="M124" s="109"/>
      <c r="N124" s="109"/>
      <c r="O124" s="109"/>
      <c r="P124" s="109"/>
      <c r="Q124" s="109"/>
      <c r="R124" s="109"/>
      <c r="S124" s="109"/>
      <c r="T124" s="392" t="s">
        <v>177</v>
      </c>
      <c r="U124" s="393"/>
      <c r="V124" s="393"/>
      <c r="W124" s="394"/>
      <c r="X124" s="2"/>
    </row>
    <row r="125" spans="2:29">
      <c r="B125" s="7"/>
      <c r="C125" s="150" t="s">
        <v>181</v>
      </c>
      <c r="D125" s="94"/>
      <c r="E125" s="94"/>
      <c r="F125" s="94"/>
      <c r="G125" s="94"/>
      <c r="H125" s="94"/>
      <c r="I125" s="94"/>
      <c r="J125" s="94"/>
      <c r="K125" s="94"/>
      <c r="L125" s="94"/>
      <c r="M125" s="94"/>
      <c r="N125" s="94"/>
      <c r="O125" s="94"/>
      <c r="P125" s="94"/>
      <c r="Q125" s="151"/>
      <c r="R125" s="152"/>
      <c r="S125" s="152"/>
      <c r="T125" s="397" t="s">
        <v>177</v>
      </c>
      <c r="U125" s="398"/>
      <c r="V125" s="153"/>
      <c r="W125" s="154"/>
      <c r="X125" s="2"/>
    </row>
    <row r="126" spans="2:29">
      <c r="B126" s="7"/>
      <c r="C126" s="112" t="s">
        <v>182</v>
      </c>
      <c r="D126" s="37"/>
      <c r="E126" s="37"/>
      <c r="F126" s="37"/>
      <c r="G126" s="37"/>
      <c r="H126" s="37"/>
      <c r="I126" s="37"/>
      <c r="J126" s="37"/>
      <c r="K126" s="37"/>
      <c r="L126" s="37"/>
      <c r="M126" s="37"/>
      <c r="N126" s="37"/>
      <c r="O126" s="37"/>
      <c r="P126" s="37"/>
      <c r="Q126" s="152"/>
      <c r="R126" s="152"/>
      <c r="S126" s="152"/>
      <c r="T126" s="390" t="s">
        <v>177</v>
      </c>
      <c r="U126" s="391"/>
      <c r="V126" s="153"/>
      <c r="W126" s="154"/>
      <c r="X126" s="2"/>
    </row>
    <row r="127" spans="2:29">
      <c r="B127" s="7"/>
      <c r="C127" s="112" t="s">
        <v>183</v>
      </c>
      <c r="D127" s="37"/>
      <c r="E127" s="37"/>
      <c r="F127" s="37"/>
      <c r="G127" s="37"/>
      <c r="H127" s="37"/>
      <c r="I127" s="37"/>
      <c r="J127" s="37"/>
      <c r="K127" s="37"/>
      <c r="L127" s="37"/>
      <c r="M127" s="37"/>
      <c r="N127" s="37"/>
      <c r="O127" s="37"/>
      <c r="P127" s="37"/>
      <c r="Q127" s="152"/>
      <c r="R127" s="152"/>
      <c r="S127" s="152"/>
      <c r="T127" s="390" t="s">
        <v>177</v>
      </c>
      <c r="U127" s="391"/>
      <c r="V127" s="153"/>
      <c r="W127" s="154"/>
      <c r="X127" s="2"/>
    </row>
    <row r="128" spans="2:29">
      <c r="B128" s="7"/>
      <c r="C128" s="112" t="s">
        <v>184</v>
      </c>
      <c r="D128" s="37"/>
      <c r="E128" s="37"/>
      <c r="F128" s="37"/>
      <c r="G128" s="37"/>
      <c r="H128" s="37"/>
      <c r="I128" s="37"/>
      <c r="J128" s="37"/>
      <c r="K128" s="37"/>
      <c r="L128" s="37"/>
      <c r="M128" s="37"/>
      <c r="N128" s="37"/>
      <c r="O128" s="37"/>
      <c r="P128" s="37"/>
      <c r="Q128" s="152"/>
      <c r="R128" s="152"/>
      <c r="S128" s="152"/>
      <c r="T128" s="390" t="s">
        <v>173</v>
      </c>
      <c r="U128" s="391"/>
      <c r="V128" s="153"/>
      <c r="W128" s="154"/>
      <c r="X128" s="2"/>
    </row>
    <row r="129" spans="2:24">
      <c r="B129" s="7"/>
      <c r="C129" s="112" t="s">
        <v>185</v>
      </c>
      <c r="D129" s="37"/>
      <c r="E129" s="37"/>
      <c r="F129" s="37"/>
      <c r="G129" s="37"/>
      <c r="H129" s="37"/>
      <c r="I129" s="37"/>
      <c r="J129" s="37"/>
      <c r="K129" s="37"/>
      <c r="L129" s="37"/>
      <c r="M129" s="37"/>
      <c r="N129" s="37"/>
      <c r="O129" s="37"/>
      <c r="P129" s="37"/>
      <c r="Q129" s="152"/>
      <c r="R129" s="152"/>
      <c r="S129" s="152"/>
      <c r="T129" s="390" t="s">
        <v>173</v>
      </c>
      <c r="U129" s="391"/>
      <c r="V129" s="153"/>
      <c r="W129" s="154"/>
      <c r="X129" s="2"/>
    </row>
    <row r="130" spans="2:24">
      <c r="B130" s="7"/>
      <c r="C130" s="112" t="s">
        <v>186</v>
      </c>
      <c r="D130" s="37"/>
      <c r="E130" s="37"/>
      <c r="F130" s="37"/>
      <c r="G130" s="37"/>
      <c r="H130" s="37"/>
      <c r="I130" s="37"/>
      <c r="J130" s="37"/>
      <c r="K130" s="37"/>
      <c r="L130" s="37"/>
      <c r="M130" s="37"/>
      <c r="N130" s="37"/>
      <c r="O130" s="37"/>
      <c r="P130" s="37"/>
      <c r="Q130" s="152"/>
      <c r="R130" s="152"/>
      <c r="S130" s="152"/>
      <c r="T130" s="390" t="s">
        <v>173</v>
      </c>
      <c r="U130" s="391"/>
      <c r="V130" s="153"/>
      <c r="W130" s="154"/>
      <c r="X130" s="2"/>
    </row>
    <row r="131" spans="2:24">
      <c r="B131" s="7"/>
      <c r="C131" s="112" t="s">
        <v>187</v>
      </c>
      <c r="D131" s="37"/>
      <c r="E131" s="37"/>
      <c r="F131" s="37"/>
      <c r="G131" s="37"/>
      <c r="H131" s="37"/>
      <c r="I131" s="37"/>
      <c r="J131" s="37"/>
      <c r="K131" s="37"/>
      <c r="L131" s="37"/>
      <c r="M131" s="37"/>
      <c r="N131" s="37"/>
      <c r="O131" s="37"/>
      <c r="P131" s="37"/>
      <c r="Q131" s="152"/>
      <c r="R131" s="152"/>
      <c r="S131" s="152"/>
      <c r="T131" s="390" t="s">
        <v>173</v>
      </c>
      <c r="U131" s="391"/>
      <c r="V131" s="153"/>
      <c r="W131" s="154"/>
      <c r="X131" s="2"/>
    </row>
    <row r="132" spans="2:24">
      <c r="B132" s="7"/>
      <c r="C132" s="112" t="s">
        <v>188</v>
      </c>
      <c r="D132" s="37"/>
      <c r="E132" s="37"/>
      <c r="F132" s="37"/>
      <c r="G132" s="37"/>
      <c r="H132" s="37"/>
      <c r="I132" s="37"/>
      <c r="J132" s="37"/>
      <c r="K132" s="37"/>
      <c r="L132" s="37"/>
      <c r="M132" s="37"/>
      <c r="N132" s="37"/>
      <c r="O132" s="37"/>
      <c r="P132" s="37"/>
      <c r="Q132" s="152"/>
      <c r="R132" s="152"/>
      <c r="S132" s="152"/>
      <c r="T132" s="390" t="s">
        <v>173</v>
      </c>
      <c r="U132" s="391"/>
      <c r="V132" s="153"/>
      <c r="W132" s="154"/>
      <c r="X132" s="2"/>
    </row>
    <row r="133" spans="2:24">
      <c r="B133" s="7"/>
      <c r="C133" s="139" t="s">
        <v>189</v>
      </c>
      <c r="D133" s="109"/>
      <c r="E133" s="109"/>
      <c r="F133" s="109"/>
      <c r="G133" s="109"/>
      <c r="H133" s="109"/>
      <c r="I133" s="109"/>
      <c r="J133" s="109"/>
      <c r="K133" s="109"/>
      <c r="L133" s="109"/>
      <c r="M133" s="109"/>
      <c r="N133" s="109"/>
      <c r="O133" s="109"/>
      <c r="P133" s="109"/>
      <c r="Q133" s="155"/>
      <c r="R133" s="155"/>
      <c r="S133" s="155"/>
      <c r="T133" s="392" t="s">
        <v>177</v>
      </c>
      <c r="U133" s="393"/>
      <c r="V133" s="393"/>
      <c r="W133" s="394"/>
      <c r="X133" s="2"/>
    </row>
    <row r="134" spans="2:24">
      <c r="B134" s="7"/>
      <c r="C134" s="150" t="s">
        <v>190</v>
      </c>
      <c r="D134" s="94"/>
      <c r="E134" s="94"/>
      <c r="F134" s="94"/>
      <c r="G134" s="94"/>
      <c r="H134" s="94"/>
      <c r="I134" s="94"/>
      <c r="J134" s="94"/>
      <c r="K134" s="94"/>
      <c r="L134" s="94"/>
      <c r="M134" s="94"/>
      <c r="N134" s="94"/>
      <c r="O134" s="94"/>
      <c r="P134" s="94"/>
      <c r="Q134" s="151"/>
      <c r="R134" s="151"/>
      <c r="S134" s="151"/>
      <c r="T134" s="373" t="s">
        <v>177</v>
      </c>
      <c r="U134" s="374"/>
      <c r="V134" s="156"/>
      <c r="W134" s="157"/>
      <c r="X134" s="2"/>
    </row>
    <row r="135" spans="2:24" ht="15" thickBot="1">
      <c r="B135" s="7"/>
      <c r="C135" s="144" t="s">
        <v>191</v>
      </c>
      <c r="D135" s="124"/>
      <c r="E135" s="124"/>
      <c r="F135" s="124"/>
      <c r="G135" s="124"/>
      <c r="H135" s="124"/>
      <c r="I135" s="124"/>
      <c r="J135" s="124"/>
      <c r="K135" s="124"/>
      <c r="L135" s="124"/>
      <c r="M135" s="124"/>
      <c r="N135" s="124"/>
      <c r="O135" s="124"/>
      <c r="P135" s="124"/>
      <c r="Q135" s="158"/>
      <c r="R135" s="158"/>
      <c r="S135" s="158"/>
      <c r="T135" s="375" t="s">
        <v>177</v>
      </c>
      <c r="U135" s="376"/>
      <c r="V135" s="376"/>
      <c r="W135" s="377"/>
      <c r="X135" s="2"/>
    </row>
    <row r="136" spans="2:24" ht="15" thickBot="1">
      <c r="B136" s="7"/>
      <c r="C136" s="127"/>
      <c r="D136" s="9"/>
      <c r="E136" s="9"/>
      <c r="F136" s="9"/>
      <c r="G136" s="9"/>
      <c r="H136" s="9"/>
      <c r="I136" s="9"/>
      <c r="J136" s="9"/>
      <c r="K136" s="9"/>
      <c r="L136" s="9"/>
      <c r="M136" s="9"/>
      <c r="N136" s="9"/>
      <c r="O136" s="9"/>
      <c r="P136" s="9"/>
      <c r="Q136" s="9"/>
      <c r="R136" s="9"/>
      <c r="S136" s="9"/>
      <c r="T136" s="9"/>
      <c r="U136" s="9"/>
      <c r="V136" s="9"/>
      <c r="W136" s="2"/>
      <c r="X136" s="2"/>
    </row>
    <row r="137" spans="2:24" ht="15" thickBot="1">
      <c r="B137" s="7"/>
      <c r="C137" s="280" t="s">
        <v>192</v>
      </c>
      <c r="D137" s="281"/>
      <c r="E137" s="281"/>
      <c r="F137" s="281"/>
      <c r="G137" s="281"/>
      <c r="H137" s="281"/>
      <c r="I137" s="281"/>
      <c r="J137" s="281"/>
      <c r="K137" s="281"/>
      <c r="L137" s="281"/>
      <c r="M137" s="281"/>
      <c r="N137" s="281"/>
      <c r="O137" s="281"/>
      <c r="P137" s="281"/>
      <c r="Q137" s="281"/>
      <c r="R137" s="281"/>
      <c r="S137" s="281"/>
      <c r="T137" s="281"/>
      <c r="U137" s="281"/>
      <c r="V137" s="281"/>
      <c r="W137" s="282"/>
      <c r="X137" s="2"/>
    </row>
    <row r="138" spans="2:24" ht="45.75" customHeight="1">
      <c r="B138" s="7"/>
      <c r="C138" s="378" t="s">
        <v>193</v>
      </c>
      <c r="D138" s="379"/>
      <c r="E138" s="379"/>
      <c r="F138" s="379"/>
      <c r="G138" s="379"/>
      <c r="H138" s="379"/>
      <c r="I138" s="379"/>
      <c r="J138" s="379"/>
      <c r="K138" s="380"/>
      <c r="L138" s="381" t="s">
        <v>194</v>
      </c>
      <c r="M138" s="382"/>
      <c r="N138" s="382"/>
      <c r="O138" s="383"/>
      <c r="P138" s="384" t="s">
        <v>195</v>
      </c>
      <c r="Q138" s="385"/>
      <c r="R138" s="385"/>
      <c r="S138" s="386"/>
      <c r="T138" s="387" t="s">
        <v>196</v>
      </c>
      <c r="U138" s="388"/>
      <c r="V138" s="388"/>
      <c r="W138" s="389"/>
      <c r="X138" s="2"/>
    </row>
    <row r="139" spans="2:24">
      <c r="B139" s="7"/>
      <c r="C139" s="142" t="s">
        <v>193</v>
      </c>
      <c r="D139" s="33"/>
      <c r="E139" s="33"/>
      <c r="F139" s="33"/>
      <c r="G139" s="33"/>
      <c r="H139" s="33"/>
      <c r="I139" s="33"/>
      <c r="J139" s="33"/>
      <c r="K139" s="33"/>
      <c r="L139" s="368">
        <v>1706694.31</v>
      </c>
      <c r="M139" s="369"/>
      <c r="N139" s="369"/>
      <c r="O139" s="370"/>
      <c r="P139" s="343">
        <f>T95</f>
        <v>121726147.67811665</v>
      </c>
      <c r="Q139" s="344"/>
      <c r="R139" s="344"/>
      <c r="S139" s="345"/>
      <c r="T139" s="371">
        <f>L139</f>
        <v>1706694.31</v>
      </c>
      <c r="U139" s="371"/>
      <c r="V139" s="371"/>
      <c r="W139" s="372"/>
      <c r="X139" s="2"/>
    </row>
    <row r="140" spans="2:24">
      <c r="B140" s="7"/>
      <c r="C140" s="116" t="s">
        <v>197</v>
      </c>
      <c r="D140" s="94"/>
      <c r="E140" s="94"/>
      <c r="F140" s="94"/>
      <c r="G140" s="94"/>
      <c r="H140" s="94"/>
      <c r="I140" s="94"/>
      <c r="J140" s="94"/>
      <c r="K140" s="94"/>
      <c r="L140" s="359">
        <f>SUM(L141:M142)</f>
        <v>84594.060000000012</v>
      </c>
      <c r="M140" s="360"/>
      <c r="N140" s="360"/>
      <c r="O140" s="361"/>
      <c r="P140" s="351">
        <f>P139-T139</f>
        <v>120019453.36811665</v>
      </c>
      <c r="Q140" s="352"/>
      <c r="R140" s="352"/>
      <c r="S140" s="352"/>
      <c r="T140" s="351">
        <f>SUM(T141:T142)</f>
        <v>84594.060000000012</v>
      </c>
      <c r="U140" s="352"/>
      <c r="V140" s="352"/>
      <c r="W140" s="358"/>
      <c r="X140" s="2"/>
    </row>
    <row r="141" spans="2:24">
      <c r="B141" s="7"/>
      <c r="C141" s="72" t="s">
        <v>198</v>
      </c>
      <c r="D141" s="37"/>
      <c r="E141" s="37"/>
      <c r="F141" s="37"/>
      <c r="G141" s="37"/>
      <c r="H141" s="37"/>
      <c r="I141" s="37"/>
      <c r="J141" s="37"/>
      <c r="K141" s="37"/>
      <c r="L141" s="348">
        <v>74811.570000000007</v>
      </c>
      <c r="M141" s="349"/>
      <c r="N141" s="98"/>
      <c r="O141" s="95"/>
      <c r="P141" s="330">
        <f>P140*L141/$L$140</f>
        <v>106140357.10084839</v>
      </c>
      <c r="Q141" s="331"/>
      <c r="R141" s="95"/>
      <c r="S141" s="160"/>
      <c r="T141" s="330">
        <f>L141</f>
        <v>74811.570000000007</v>
      </c>
      <c r="U141" s="331"/>
      <c r="V141" s="95"/>
      <c r="W141" s="2"/>
      <c r="X141" s="2"/>
    </row>
    <row r="142" spans="2:24">
      <c r="B142" s="7"/>
      <c r="C142" s="72" t="s">
        <v>199</v>
      </c>
      <c r="D142" s="37"/>
      <c r="E142" s="37"/>
      <c r="F142" s="37"/>
      <c r="G142" s="37"/>
      <c r="H142" s="37"/>
      <c r="I142" s="37"/>
      <c r="J142" s="37"/>
      <c r="K142" s="37"/>
      <c r="L142" s="366">
        <v>9782.49</v>
      </c>
      <c r="M142" s="367"/>
      <c r="N142" s="98"/>
      <c r="O142" s="141"/>
      <c r="P142" s="346">
        <f>P140*L142/$L$140</f>
        <v>13879096.267268259</v>
      </c>
      <c r="Q142" s="347"/>
      <c r="R142" s="141"/>
      <c r="S142" s="106"/>
      <c r="T142" s="330">
        <f>L142</f>
        <v>9782.49</v>
      </c>
      <c r="U142" s="331"/>
      <c r="V142" s="95"/>
      <c r="W142" s="2"/>
      <c r="X142" s="2"/>
    </row>
    <row r="143" spans="2:24">
      <c r="B143" s="7"/>
      <c r="C143" s="116" t="s">
        <v>200</v>
      </c>
      <c r="D143" s="94"/>
      <c r="E143" s="94"/>
      <c r="F143" s="94"/>
      <c r="G143" s="94"/>
      <c r="H143" s="94"/>
      <c r="I143" s="94"/>
      <c r="J143" s="94"/>
      <c r="K143" s="94"/>
      <c r="L143" s="359">
        <f>SUM(L144:M145)</f>
        <v>485426.5</v>
      </c>
      <c r="M143" s="360"/>
      <c r="N143" s="360"/>
      <c r="O143" s="361"/>
      <c r="P143" s="351">
        <f>P140-T140</f>
        <v>119934859.30811664</v>
      </c>
      <c r="Q143" s="352"/>
      <c r="R143" s="352"/>
      <c r="S143" s="352"/>
      <c r="T143" s="351">
        <f>SUM(T144:T145)</f>
        <v>485426.5</v>
      </c>
      <c r="U143" s="352"/>
      <c r="V143" s="352"/>
      <c r="W143" s="358"/>
      <c r="X143" s="2"/>
    </row>
    <row r="144" spans="2:24">
      <c r="B144" s="7"/>
      <c r="C144" s="72" t="s">
        <v>201</v>
      </c>
      <c r="D144" s="37"/>
      <c r="E144" s="37"/>
      <c r="F144" s="37"/>
      <c r="G144" s="37"/>
      <c r="H144" s="37"/>
      <c r="I144" s="37"/>
      <c r="J144" s="37"/>
      <c r="K144" s="37"/>
      <c r="L144" s="348">
        <v>365.8</v>
      </c>
      <c r="M144" s="349"/>
      <c r="N144" s="98"/>
      <c r="O144" s="95"/>
      <c r="P144" s="330">
        <f>$P$143*L144/$L$143</f>
        <v>90378.608367917841</v>
      </c>
      <c r="Q144" s="331"/>
      <c r="R144" s="95"/>
      <c r="S144" s="160"/>
      <c r="T144" s="330">
        <f>L144</f>
        <v>365.8</v>
      </c>
      <c r="U144" s="331"/>
      <c r="V144" s="95"/>
      <c r="W144" s="2"/>
      <c r="X144" s="2"/>
    </row>
    <row r="145" spans="2:24">
      <c r="B145" s="7"/>
      <c r="C145" s="72" t="s">
        <v>202</v>
      </c>
      <c r="D145" s="37"/>
      <c r="E145" s="37"/>
      <c r="F145" s="37"/>
      <c r="G145" s="37"/>
      <c r="H145" s="37"/>
      <c r="I145" s="37"/>
      <c r="J145" s="37"/>
      <c r="K145" s="37"/>
      <c r="L145" s="332">
        <v>485060.7</v>
      </c>
      <c r="M145" s="333"/>
      <c r="N145" s="100"/>
      <c r="O145" s="95"/>
      <c r="P145" s="346">
        <f>IFERROR($P$143*L145/$L$143,0)</f>
        <v>119844480.69974874</v>
      </c>
      <c r="Q145" s="347"/>
      <c r="R145" s="141"/>
      <c r="S145" s="106"/>
      <c r="T145" s="330">
        <f>L145</f>
        <v>485060.7</v>
      </c>
      <c r="U145" s="331"/>
      <c r="V145" s="95"/>
      <c r="W145" s="2"/>
      <c r="X145" s="2"/>
    </row>
    <row r="146" spans="2:24">
      <c r="B146" s="7"/>
      <c r="C146" s="116" t="s">
        <v>203</v>
      </c>
      <c r="D146" s="94"/>
      <c r="E146" s="94"/>
      <c r="F146" s="94"/>
      <c r="G146" s="94"/>
      <c r="H146" s="94"/>
      <c r="I146" s="94"/>
      <c r="J146" s="94"/>
      <c r="K146" s="94"/>
      <c r="L146" s="359">
        <f>SUM(L147:M149)</f>
        <v>3948489.5116209877</v>
      </c>
      <c r="M146" s="360"/>
      <c r="N146" s="360"/>
      <c r="O146" s="361"/>
      <c r="P146" s="351">
        <f>P143-T143</f>
        <v>119449432.80811664</v>
      </c>
      <c r="Q146" s="352"/>
      <c r="R146" s="352"/>
      <c r="S146" s="352"/>
      <c r="T146" s="351">
        <f>SUM(T147:T149)</f>
        <v>3948489.5116209877</v>
      </c>
      <c r="U146" s="352"/>
      <c r="V146" s="352"/>
      <c r="W146" s="358"/>
      <c r="X146" s="2"/>
    </row>
    <row r="147" spans="2:24">
      <c r="B147" s="7"/>
      <c r="C147" s="72" t="s">
        <v>204</v>
      </c>
      <c r="D147" s="37"/>
      <c r="E147" s="37"/>
      <c r="F147" s="37"/>
      <c r="G147" s="37"/>
      <c r="H147" s="37"/>
      <c r="I147" s="37"/>
      <c r="J147" s="37"/>
      <c r="K147" s="37"/>
      <c r="L147" s="364">
        <v>3356215.8823937252</v>
      </c>
      <c r="M147" s="365"/>
      <c r="N147" s="98"/>
      <c r="O147" s="163"/>
      <c r="P147" s="330">
        <f>$P$146*L147/$L$146</f>
        <v>101532011.76136367</v>
      </c>
      <c r="Q147" s="331"/>
      <c r="R147" s="95"/>
      <c r="S147" s="160"/>
      <c r="T147" s="330">
        <f>L147</f>
        <v>3356215.8823937252</v>
      </c>
      <c r="U147" s="331"/>
      <c r="V147" s="95"/>
      <c r="W147" s="2"/>
      <c r="X147" s="2"/>
    </row>
    <row r="148" spans="2:24">
      <c r="B148" s="7"/>
      <c r="C148" s="72" t="s">
        <v>205</v>
      </c>
      <c r="D148" s="37"/>
      <c r="E148" s="37"/>
      <c r="F148" s="37"/>
      <c r="G148" s="37"/>
      <c r="H148" s="37"/>
      <c r="I148" s="37"/>
      <c r="J148" s="37"/>
      <c r="K148" s="37"/>
      <c r="L148" s="348">
        <v>0</v>
      </c>
      <c r="M148" s="349"/>
      <c r="N148" s="98"/>
      <c r="O148" s="163"/>
      <c r="P148" s="330">
        <f>$P$146*L148/$L$146</f>
        <v>0</v>
      </c>
      <c r="Q148" s="331"/>
      <c r="R148" s="95"/>
      <c r="S148" s="160"/>
      <c r="T148" s="330">
        <f>L148</f>
        <v>0</v>
      </c>
      <c r="U148" s="331"/>
      <c r="V148" s="95"/>
      <c r="W148" s="2"/>
      <c r="X148" s="2"/>
    </row>
    <row r="149" spans="2:24">
      <c r="B149" s="7"/>
      <c r="C149" s="72" t="s">
        <v>206</v>
      </c>
      <c r="D149" s="37"/>
      <c r="E149" s="37"/>
      <c r="F149" s="37"/>
      <c r="G149" s="37"/>
      <c r="H149" s="37"/>
      <c r="I149" s="37"/>
      <c r="J149" s="37"/>
      <c r="K149" s="37"/>
      <c r="L149" s="362">
        <v>592273.62922726246</v>
      </c>
      <c r="M149" s="363"/>
      <c r="N149" s="162"/>
      <c r="O149" s="164"/>
      <c r="P149" s="346">
        <f>$P$146*L149/$L$146</f>
        <v>17917421.046752982</v>
      </c>
      <c r="Q149" s="347"/>
      <c r="R149" s="141"/>
      <c r="S149" s="106"/>
      <c r="T149" s="346">
        <f>L149</f>
        <v>592273.62922726246</v>
      </c>
      <c r="U149" s="347"/>
      <c r="V149" s="161"/>
      <c r="W149" s="165"/>
      <c r="X149" s="2"/>
    </row>
    <row r="150" spans="2:24">
      <c r="B150" s="7"/>
      <c r="C150" s="142" t="s">
        <v>207</v>
      </c>
      <c r="D150" s="33"/>
      <c r="E150" s="33"/>
      <c r="F150" s="33"/>
      <c r="G150" s="33"/>
      <c r="H150" s="33"/>
      <c r="I150" s="33"/>
      <c r="J150" s="33"/>
      <c r="K150" s="33"/>
      <c r="L150" s="355">
        <v>1566529.3150684931</v>
      </c>
      <c r="M150" s="356"/>
      <c r="N150" s="356"/>
      <c r="O150" s="357"/>
      <c r="P150" s="311">
        <f>P146-T146</f>
        <v>115500943.29649566</v>
      </c>
      <c r="Q150" s="312"/>
      <c r="R150" s="312"/>
      <c r="S150" s="350"/>
      <c r="T150" s="351">
        <f>L150</f>
        <v>1566529.3150684931</v>
      </c>
      <c r="U150" s="352"/>
      <c r="V150" s="352"/>
      <c r="W150" s="358"/>
      <c r="X150" s="2"/>
    </row>
    <row r="151" spans="2:24">
      <c r="B151" s="7"/>
      <c r="C151" s="116" t="s">
        <v>208</v>
      </c>
      <c r="D151" s="94"/>
      <c r="E151" s="94"/>
      <c r="F151" s="94"/>
      <c r="G151" s="94"/>
      <c r="H151" s="94"/>
      <c r="I151" s="94"/>
      <c r="J151" s="94"/>
      <c r="K151" s="94"/>
      <c r="L151" s="355">
        <v>0</v>
      </c>
      <c r="M151" s="356"/>
      <c r="N151" s="356"/>
      <c r="O151" s="357"/>
      <c r="P151" s="311">
        <f>P150-T150</f>
        <v>113934413.98142716</v>
      </c>
      <c r="Q151" s="312"/>
      <c r="R151" s="312"/>
      <c r="S151" s="350"/>
      <c r="T151" s="351">
        <f>L151</f>
        <v>0</v>
      </c>
      <c r="U151" s="352"/>
      <c r="V151" s="352"/>
      <c r="W151" s="358"/>
      <c r="X151" s="2"/>
    </row>
    <row r="152" spans="2:24">
      <c r="B152" s="7"/>
      <c r="C152" s="116" t="s">
        <v>209</v>
      </c>
      <c r="D152" s="94"/>
      <c r="E152" s="94"/>
      <c r="F152" s="94"/>
      <c r="G152" s="94"/>
      <c r="H152" s="94"/>
      <c r="I152" s="94"/>
      <c r="J152" s="94"/>
      <c r="K152" s="94"/>
      <c r="L152" s="359">
        <f>SUM(L153:M155)</f>
        <v>23728854.248183012</v>
      </c>
      <c r="M152" s="360"/>
      <c r="N152" s="360"/>
      <c r="O152" s="361"/>
      <c r="P152" s="351">
        <f>P151-T151</f>
        <v>113934413.98142716</v>
      </c>
      <c r="Q152" s="352"/>
      <c r="R152" s="352"/>
      <c r="S152" s="352"/>
      <c r="T152" s="351">
        <f>SUM(T153:T155)</f>
        <v>23728854.248183012</v>
      </c>
      <c r="U152" s="352"/>
      <c r="V152" s="352"/>
      <c r="W152" s="358"/>
      <c r="X152" s="2"/>
    </row>
    <row r="153" spans="2:24">
      <c r="B153" s="7"/>
      <c r="C153" s="72" t="s">
        <v>210</v>
      </c>
      <c r="D153" s="37"/>
      <c r="E153" s="37"/>
      <c r="F153" s="37"/>
      <c r="G153" s="37"/>
      <c r="H153" s="37"/>
      <c r="I153" s="37"/>
      <c r="J153" s="37"/>
      <c r="K153" s="37"/>
      <c r="L153" s="326">
        <f>P36</f>
        <v>968374.13859396614</v>
      </c>
      <c r="M153" s="327"/>
      <c r="N153" s="98"/>
      <c r="O153" s="163"/>
      <c r="P153" s="330">
        <f>$P$152*L153/$L$152</f>
        <v>4649661.4982546512</v>
      </c>
      <c r="Q153" s="331"/>
      <c r="R153" s="95"/>
      <c r="S153" s="160"/>
      <c r="T153" s="330">
        <f t="shared" ref="T153:T160" si="18">L153</f>
        <v>968374.13859396614</v>
      </c>
      <c r="U153" s="331"/>
      <c r="V153" s="95"/>
      <c r="W153" s="2"/>
      <c r="X153" s="2"/>
    </row>
    <row r="154" spans="2:24">
      <c r="B154" s="7"/>
      <c r="C154" s="72" t="s">
        <v>211</v>
      </c>
      <c r="D154" s="37"/>
      <c r="E154" s="37"/>
      <c r="F154" s="37"/>
      <c r="G154" s="37"/>
      <c r="H154" s="37"/>
      <c r="I154" s="37"/>
      <c r="J154" s="37"/>
      <c r="K154" s="37"/>
      <c r="L154" s="326">
        <f>K36+L36+M36+O36</f>
        <v>22760480.109589044</v>
      </c>
      <c r="M154" s="327"/>
      <c r="N154" s="98"/>
      <c r="O154" s="163"/>
      <c r="P154" s="330">
        <f>$P$152*L154/$L$152</f>
        <v>109284752.48317251</v>
      </c>
      <c r="Q154" s="331"/>
      <c r="R154" s="95"/>
      <c r="S154" s="160"/>
      <c r="T154" s="330">
        <f t="shared" si="18"/>
        <v>22760480.109589044</v>
      </c>
      <c r="U154" s="331"/>
      <c r="V154" s="95"/>
      <c r="W154" s="2"/>
      <c r="X154" s="2"/>
    </row>
    <row r="155" spans="2:24">
      <c r="B155" s="7"/>
      <c r="C155" s="108" t="s">
        <v>212</v>
      </c>
      <c r="D155" s="109"/>
      <c r="E155" s="109"/>
      <c r="F155" s="109"/>
      <c r="G155" s="109"/>
      <c r="H155" s="109"/>
      <c r="I155" s="109"/>
      <c r="J155" s="109"/>
      <c r="K155" s="109"/>
      <c r="L155" s="332">
        <f>N36</f>
        <v>0</v>
      </c>
      <c r="M155" s="333"/>
      <c r="N155" s="161"/>
      <c r="O155" s="164"/>
      <c r="P155" s="346">
        <f>$P$152*L155/$L$152</f>
        <v>0</v>
      </c>
      <c r="Q155" s="347"/>
      <c r="R155" s="95"/>
      <c r="S155" s="160"/>
      <c r="T155" s="346">
        <f t="shared" si="18"/>
        <v>0</v>
      </c>
      <c r="U155" s="347"/>
      <c r="V155" s="161"/>
      <c r="W155" s="165"/>
      <c r="X155" s="2"/>
    </row>
    <row r="156" spans="2:24">
      <c r="B156" s="7"/>
      <c r="C156" s="142" t="s">
        <v>213</v>
      </c>
      <c r="D156" s="33"/>
      <c r="E156" s="33"/>
      <c r="F156" s="33"/>
      <c r="G156" s="33"/>
      <c r="H156" s="33"/>
      <c r="I156" s="33"/>
      <c r="J156" s="33"/>
      <c r="K156" s="33"/>
      <c r="L156" s="355">
        <f>Q36+R36+S36</f>
        <v>6030197.8630136978</v>
      </c>
      <c r="M156" s="356"/>
      <c r="N156" s="356"/>
      <c r="O156" s="357"/>
      <c r="P156" s="311">
        <f>P152-T152</f>
        <v>90205559.733244151</v>
      </c>
      <c r="Q156" s="312"/>
      <c r="R156" s="312"/>
      <c r="S156" s="350"/>
      <c r="T156" s="311">
        <f t="shared" si="18"/>
        <v>6030197.8630136978</v>
      </c>
      <c r="U156" s="312"/>
      <c r="V156" s="312"/>
      <c r="W156" s="313"/>
      <c r="X156" s="2"/>
    </row>
    <row r="157" spans="2:24">
      <c r="B157" s="7"/>
      <c r="C157" s="142" t="s">
        <v>214</v>
      </c>
      <c r="D157" s="33"/>
      <c r="E157" s="33"/>
      <c r="F157" s="33"/>
      <c r="G157" s="33"/>
      <c r="H157" s="33"/>
      <c r="I157" s="33"/>
      <c r="J157" s="33"/>
      <c r="K157" s="33"/>
      <c r="L157" s="355">
        <f>T36+W36+V36+U36</f>
        <v>1963041.9178082191</v>
      </c>
      <c r="M157" s="356"/>
      <c r="N157" s="356"/>
      <c r="O157" s="357"/>
      <c r="P157" s="311">
        <f>P156-T156</f>
        <v>84175361.870230451</v>
      </c>
      <c r="Q157" s="312"/>
      <c r="R157" s="312"/>
      <c r="S157" s="350"/>
      <c r="T157" s="311">
        <f t="shared" si="18"/>
        <v>1963041.9178082191</v>
      </c>
      <c r="U157" s="312"/>
      <c r="V157" s="312"/>
      <c r="W157" s="313"/>
      <c r="X157" s="2"/>
    </row>
    <row r="158" spans="2:24">
      <c r="B158" s="7"/>
      <c r="C158" s="142" t="s">
        <v>215</v>
      </c>
      <c r="D158" s="33"/>
      <c r="E158" s="33"/>
      <c r="F158" s="33"/>
      <c r="G158" s="33"/>
      <c r="H158" s="33"/>
      <c r="I158" s="33"/>
      <c r="J158" s="33"/>
      <c r="K158" s="33"/>
      <c r="L158" s="308">
        <v>0</v>
      </c>
      <c r="M158" s="309"/>
      <c r="N158" s="309"/>
      <c r="O158" s="310"/>
      <c r="P158" s="311">
        <f>P157-T157</f>
        <v>82212319.952422231</v>
      </c>
      <c r="Q158" s="312"/>
      <c r="R158" s="312"/>
      <c r="S158" s="350"/>
      <c r="T158" s="311">
        <f t="shared" si="18"/>
        <v>0</v>
      </c>
      <c r="U158" s="312"/>
      <c r="V158" s="312"/>
      <c r="W158" s="313"/>
      <c r="X158" s="2"/>
    </row>
    <row r="159" spans="2:24">
      <c r="B159" s="7"/>
      <c r="C159" s="142" t="s">
        <v>216</v>
      </c>
      <c r="D159" s="33"/>
      <c r="E159" s="33"/>
      <c r="F159" s="33"/>
      <c r="G159" s="33"/>
      <c r="H159" s="33"/>
      <c r="I159" s="33"/>
      <c r="J159" s="33"/>
      <c r="K159" s="33"/>
      <c r="L159" s="308">
        <v>0</v>
      </c>
      <c r="M159" s="309"/>
      <c r="N159" s="309"/>
      <c r="O159" s="310"/>
      <c r="P159" s="311">
        <f>P158-T158</f>
        <v>82212319.952422231</v>
      </c>
      <c r="Q159" s="312"/>
      <c r="R159" s="312"/>
      <c r="S159" s="350"/>
      <c r="T159" s="311">
        <f t="shared" si="18"/>
        <v>0</v>
      </c>
      <c r="U159" s="312"/>
      <c r="V159" s="312"/>
      <c r="W159" s="313"/>
      <c r="X159" s="2"/>
    </row>
    <row r="160" spans="2:24">
      <c r="B160" s="7"/>
      <c r="C160" s="142" t="s">
        <v>217</v>
      </c>
      <c r="D160" s="33"/>
      <c r="E160" s="33"/>
      <c r="F160" s="33"/>
      <c r="G160" s="33"/>
      <c r="H160" s="33"/>
      <c r="I160" s="33"/>
      <c r="J160" s="33"/>
      <c r="K160" s="33"/>
      <c r="L160" s="308">
        <v>0</v>
      </c>
      <c r="M160" s="309"/>
      <c r="N160" s="309"/>
      <c r="O160" s="310"/>
      <c r="P160" s="311">
        <f>P159-T159</f>
        <v>82212319.952422231</v>
      </c>
      <c r="Q160" s="312"/>
      <c r="R160" s="312"/>
      <c r="S160" s="350"/>
      <c r="T160" s="311">
        <f t="shared" si="18"/>
        <v>0</v>
      </c>
      <c r="U160" s="312"/>
      <c r="V160" s="312"/>
      <c r="W160" s="313"/>
      <c r="X160" s="2"/>
    </row>
    <row r="161" spans="2:24">
      <c r="B161" s="7"/>
      <c r="C161" s="142" t="s">
        <v>218</v>
      </c>
      <c r="D161" s="33"/>
      <c r="E161" s="33"/>
      <c r="F161" s="33"/>
      <c r="G161" s="33"/>
      <c r="H161" s="33"/>
      <c r="I161" s="33"/>
      <c r="J161" s="33"/>
      <c r="K161" s="33"/>
      <c r="L161" s="308">
        <f>Q204</f>
        <v>0</v>
      </c>
      <c r="M161" s="309"/>
      <c r="N161" s="309"/>
      <c r="O161" s="310"/>
      <c r="P161" s="311">
        <f>P157-T157</f>
        <v>82212319.952422231</v>
      </c>
      <c r="Q161" s="312"/>
      <c r="R161" s="312"/>
      <c r="S161" s="350"/>
      <c r="T161" s="311">
        <f>L161</f>
        <v>0</v>
      </c>
      <c r="U161" s="312"/>
      <c r="V161" s="312"/>
      <c r="W161" s="313"/>
      <c r="X161" s="2"/>
    </row>
    <row r="162" spans="2:24">
      <c r="B162" s="7"/>
      <c r="C162" s="116" t="s">
        <v>219</v>
      </c>
      <c r="D162" s="94"/>
      <c r="E162" s="94"/>
      <c r="F162" s="94"/>
      <c r="G162" s="94"/>
      <c r="H162" s="94"/>
      <c r="I162" s="94"/>
      <c r="J162" s="94"/>
      <c r="K162" s="94"/>
      <c r="L162" s="336">
        <f>SUM(L163,L167:M168)</f>
        <v>37485418.830000013</v>
      </c>
      <c r="M162" s="337"/>
      <c r="N162" s="337"/>
      <c r="O162" s="338"/>
      <c r="P162" s="351">
        <f>P161-T161</f>
        <v>82212319.952422231</v>
      </c>
      <c r="Q162" s="352"/>
      <c r="R162" s="352"/>
      <c r="S162" s="353"/>
      <c r="T162" s="348">
        <f>SUM(T163,Q167:S168)</f>
        <v>37485418.830000013</v>
      </c>
      <c r="U162" s="349"/>
      <c r="V162" s="349"/>
      <c r="W162" s="354"/>
      <c r="X162" s="2"/>
    </row>
    <row r="163" spans="2:24">
      <c r="B163" s="7"/>
      <c r="C163" s="72" t="s">
        <v>220</v>
      </c>
      <c r="D163" s="37"/>
      <c r="E163" s="37"/>
      <c r="F163" s="37"/>
      <c r="G163" s="37"/>
      <c r="H163" s="37"/>
      <c r="I163" s="37"/>
      <c r="J163" s="37"/>
      <c r="K163" s="37"/>
      <c r="L163" s="328">
        <f>SUM(L164:M166)</f>
        <v>37485418.830000013</v>
      </c>
      <c r="M163" s="329"/>
      <c r="N163" s="329"/>
      <c r="O163" s="166"/>
      <c r="P163" s="330">
        <f>L163/$L$162*P162</f>
        <v>82212319.952422231</v>
      </c>
      <c r="Q163" s="331"/>
      <c r="R163" s="95"/>
      <c r="S163" s="160"/>
      <c r="T163" s="348">
        <f t="shared" ref="T163:T170" si="19">L163</f>
        <v>37485418.830000013</v>
      </c>
      <c r="U163" s="349"/>
      <c r="V163" s="95"/>
      <c r="W163" s="2"/>
      <c r="X163" s="2"/>
    </row>
    <row r="164" spans="2:24">
      <c r="B164" s="7"/>
      <c r="C164" s="112" t="s">
        <v>28</v>
      </c>
      <c r="D164" s="37"/>
      <c r="E164" s="37"/>
      <c r="F164" s="37"/>
      <c r="G164" s="37"/>
      <c r="H164" s="37"/>
      <c r="I164" s="37"/>
      <c r="J164" s="37"/>
      <c r="K164" s="37"/>
      <c r="L164" s="326">
        <f>T102</f>
        <v>37485418.830000013</v>
      </c>
      <c r="M164" s="327"/>
      <c r="N164" s="100"/>
      <c r="O164" s="166"/>
      <c r="P164" s="330">
        <f>L164/$L$162*P162</f>
        <v>82212319.952422231</v>
      </c>
      <c r="Q164" s="331"/>
      <c r="R164" s="95"/>
      <c r="S164" s="160"/>
      <c r="T164" s="348">
        <f t="shared" si="19"/>
        <v>37485418.830000013</v>
      </c>
      <c r="U164" s="349"/>
      <c r="V164" s="95"/>
      <c r="W164" s="2"/>
      <c r="X164" s="2"/>
    </row>
    <row r="165" spans="2:24">
      <c r="B165" s="7"/>
      <c r="C165" s="112" t="s">
        <v>221</v>
      </c>
      <c r="D165" s="37"/>
      <c r="E165" s="37"/>
      <c r="F165" s="37"/>
      <c r="G165" s="37"/>
      <c r="H165" s="37"/>
      <c r="I165" s="37"/>
      <c r="J165" s="37"/>
      <c r="K165" s="37"/>
      <c r="L165" s="326">
        <v>0</v>
      </c>
      <c r="M165" s="327"/>
      <c r="N165" s="100"/>
      <c r="O165" s="166"/>
      <c r="P165" s="330">
        <f>L165/$L$162*P162</f>
        <v>0</v>
      </c>
      <c r="Q165" s="331"/>
      <c r="R165" s="95"/>
      <c r="S165" s="160"/>
      <c r="T165" s="330">
        <f t="shared" si="19"/>
        <v>0</v>
      </c>
      <c r="U165" s="331"/>
      <c r="V165" s="95"/>
      <c r="W165" s="2"/>
      <c r="X165" s="2"/>
    </row>
    <row r="166" spans="2:24">
      <c r="B166" s="7"/>
      <c r="C166" s="112" t="s">
        <v>26</v>
      </c>
      <c r="D166" s="37"/>
      <c r="E166" s="37"/>
      <c r="F166" s="37"/>
      <c r="G166" s="37"/>
      <c r="H166" s="37"/>
      <c r="I166" s="37"/>
      <c r="J166" s="37"/>
      <c r="K166" s="37"/>
      <c r="L166" s="326">
        <v>0</v>
      </c>
      <c r="M166" s="327"/>
      <c r="N166" s="100"/>
      <c r="O166" s="166"/>
      <c r="P166" s="330">
        <f>L166/$L$162*P162</f>
        <v>0</v>
      </c>
      <c r="Q166" s="331"/>
      <c r="R166" s="95"/>
      <c r="S166" s="160"/>
      <c r="T166" s="330">
        <f t="shared" si="19"/>
        <v>0</v>
      </c>
      <c r="U166" s="331"/>
      <c r="V166" s="95"/>
      <c r="W166" s="2"/>
      <c r="X166" s="2"/>
    </row>
    <row r="167" spans="2:24">
      <c r="B167" s="7"/>
      <c r="C167" s="72" t="s">
        <v>222</v>
      </c>
      <c r="D167" s="37"/>
      <c r="E167" s="37"/>
      <c r="F167" s="37"/>
      <c r="G167" s="37"/>
      <c r="H167" s="37"/>
      <c r="I167" s="37"/>
      <c r="J167" s="37"/>
      <c r="K167" s="37"/>
      <c r="L167" s="326">
        <v>0</v>
      </c>
      <c r="M167" s="327"/>
      <c r="N167" s="100"/>
      <c r="O167" s="166"/>
      <c r="P167" s="330">
        <f>L167/$L$162*P162</f>
        <v>0</v>
      </c>
      <c r="Q167" s="331"/>
      <c r="R167" s="95"/>
      <c r="S167" s="160"/>
      <c r="T167" s="330">
        <f t="shared" si="19"/>
        <v>0</v>
      </c>
      <c r="U167" s="331"/>
      <c r="V167" s="95"/>
      <c r="W167" s="2"/>
      <c r="X167" s="2"/>
    </row>
    <row r="168" spans="2:24">
      <c r="B168" s="7"/>
      <c r="C168" s="108" t="s">
        <v>223</v>
      </c>
      <c r="D168" s="109"/>
      <c r="E168" s="109"/>
      <c r="F168" s="109"/>
      <c r="G168" s="109"/>
      <c r="H168" s="109"/>
      <c r="I168" s="109"/>
      <c r="J168" s="109"/>
      <c r="K168" s="109"/>
      <c r="L168" s="332">
        <v>0</v>
      </c>
      <c r="M168" s="333"/>
      <c r="N168" s="100"/>
      <c r="O168" s="167"/>
      <c r="P168" s="346">
        <f>L168/$L$162*P162</f>
        <v>0</v>
      </c>
      <c r="Q168" s="347"/>
      <c r="R168" s="95"/>
      <c r="S168" s="160"/>
      <c r="T168" s="330">
        <f t="shared" si="19"/>
        <v>0</v>
      </c>
      <c r="U168" s="331"/>
      <c r="V168" s="95"/>
      <c r="W168" s="2"/>
      <c r="X168" s="2"/>
    </row>
    <row r="169" spans="2:24">
      <c r="B169" s="7"/>
      <c r="C169" s="142" t="s">
        <v>224</v>
      </c>
      <c r="D169" s="33"/>
      <c r="E169" s="33"/>
      <c r="F169" s="33"/>
      <c r="G169" s="33"/>
      <c r="H169" s="33"/>
      <c r="I169" s="33"/>
      <c r="J169" s="33"/>
      <c r="K169" s="33"/>
      <c r="L169" s="308">
        <f>Q195</f>
        <v>33219778</v>
      </c>
      <c r="M169" s="309"/>
      <c r="N169" s="309"/>
      <c r="O169" s="310"/>
      <c r="P169" s="343">
        <f>P162-T162</f>
        <v>44726901.122422218</v>
      </c>
      <c r="Q169" s="344"/>
      <c r="R169" s="344"/>
      <c r="S169" s="345"/>
      <c r="T169" s="311">
        <f t="shared" si="19"/>
        <v>33219778</v>
      </c>
      <c r="U169" s="312"/>
      <c r="V169" s="312"/>
      <c r="W169" s="313"/>
      <c r="X169" s="2"/>
    </row>
    <row r="170" spans="2:24">
      <c r="B170" s="7"/>
      <c r="C170" s="142" t="s">
        <v>225</v>
      </c>
      <c r="D170" s="33"/>
      <c r="E170" s="33"/>
      <c r="F170" s="33"/>
      <c r="G170" s="33"/>
      <c r="H170" s="33"/>
      <c r="I170" s="33"/>
      <c r="J170" s="33"/>
      <c r="K170" s="33"/>
      <c r="L170" s="308">
        <v>0</v>
      </c>
      <c r="M170" s="309"/>
      <c r="N170" s="309"/>
      <c r="O170" s="310"/>
      <c r="P170" s="343">
        <f>P169-T169</f>
        <v>11507123.122422218</v>
      </c>
      <c r="Q170" s="344"/>
      <c r="R170" s="344"/>
      <c r="S170" s="345"/>
      <c r="T170" s="311">
        <f t="shared" si="19"/>
        <v>0</v>
      </c>
      <c r="U170" s="312"/>
      <c r="V170" s="312"/>
      <c r="W170" s="313"/>
      <c r="X170" s="2"/>
    </row>
    <row r="171" spans="2:24">
      <c r="B171" s="7"/>
      <c r="C171" s="116" t="s">
        <v>226</v>
      </c>
      <c r="D171" s="94"/>
      <c r="E171" s="94"/>
      <c r="F171" s="94"/>
      <c r="G171" s="94"/>
      <c r="H171" s="94"/>
      <c r="I171" s="94"/>
      <c r="J171" s="94"/>
      <c r="K171" s="94"/>
      <c r="L171" s="336">
        <f>SUM(L172:M173)</f>
        <v>0</v>
      </c>
      <c r="M171" s="337"/>
      <c r="N171" s="337"/>
      <c r="O171" s="338"/>
      <c r="P171" s="339">
        <f>P170-T170</f>
        <v>11507123.122422218</v>
      </c>
      <c r="Q171" s="340"/>
      <c r="R171" s="340"/>
      <c r="S171" s="341"/>
      <c r="T171" s="339">
        <f>SUM(Q172:S173)</f>
        <v>0</v>
      </c>
      <c r="U171" s="340"/>
      <c r="V171" s="340"/>
      <c r="W171" s="342"/>
      <c r="X171" s="2"/>
    </row>
    <row r="172" spans="2:24">
      <c r="B172" s="7"/>
      <c r="C172" s="72" t="s">
        <v>222</v>
      </c>
      <c r="D172" s="37"/>
      <c r="E172" s="37"/>
      <c r="F172" s="37"/>
      <c r="G172" s="37"/>
      <c r="H172" s="37"/>
      <c r="I172" s="37"/>
      <c r="J172" s="37"/>
      <c r="K172" s="37"/>
      <c r="L172" s="326">
        <v>0</v>
      </c>
      <c r="M172" s="327"/>
      <c r="N172" s="100"/>
      <c r="O172" s="132"/>
      <c r="P172" s="328">
        <f>IFERROR(L172/$L$171*$P$171,0)</f>
        <v>0</v>
      </c>
      <c r="Q172" s="329"/>
      <c r="R172" s="132"/>
      <c r="S172" s="168"/>
      <c r="T172" s="330">
        <f>L172</f>
        <v>0</v>
      </c>
      <c r="U172" s="331"/>
      <c r="V172" s="95"/>
      <c r="W172" s="2"/>
      <c r="X172" s="2"/>
    </row>
    <row r="173" spans="2:24">
      <c r="B173" s="7"/>
      <c r="C173" s="108" t="s">
        <v>223</v>
      </c>
      <c r="D173" s="109"/>
      <c r="E173" s="109"/>
      <c r="F173" s="109"/>
      <c r="G173" s="109"/>
      <c r="H173" s="109"/>
      <c r="I173" s="109"/>
      <c r="J173" s="109"/>
      <c r="K173" s="109"/>
      <c r="L173" s="332">
        <v>0</v>
      </c>
      <c r="M173" s="333"/>
      <c r="N173" s="100"/>
      <c r="O173" s="132"/>
      <c r="P173" s="334">
        <f>IFERROR(L173/$L$171*$P$171,0)</f>
        <v>0</v>
      </c>
      <c r="Q173" s="335"/>
      <c r="R173" s="169"/>
      <c r="S173" s="170"/>
      <c r="T173" s="330">
        <f>L173</f>
        <v>0</v>
      </c>
      <c r="U173" s="331"/>
      <c r="V173" s="95"/>
      <c r="W173" s="2"/>
      <c r="X173" s="2"/>
    </row>
    <row r="174" spans="2:24">
      <c r="B174" s="7"/>
      <c r="C174" s="142" t="s">
        <v>227</v>
      </c>
      <c r="D174" s="109"/>
      <c r="E174" s="109"/>
      <c r="F174" s="109"/>
      <c r="G174" s="109"/>
      <c r="H174" s="109"/>
      <c r="I174" s="109"/>
      <c r="J174" s="109"/>
      <c r="K174" s="109"/>
      <c r="L174" s="308">
        <v>0</v>
      </c>
      <c r="M174" s="309"/>
      <c r="N174" s="309"/>
      <c r="O174" s="310"/>
      <c r="P174" s="343">
        <f>P171-T171</f>
        <v>11507123.122422218</v>
      </c>
      <c r="Q174" s="344"/>
      <c r="R174" s="344"/>
      <c r="S174" s="345"/>
      <c r="T174" s="311">
        <f>L174</f>
        <v>0</v>
      </c>
      <c r="U174" s="312"/>
      <c r="V174" s="312"/>
      <c r="W174" s="313"/>
      <c r="X174" s="2"/>
    </row>
    <row r="175" spans="2:24">
      <c r="B175" s="7"/>
      <c r="C175" s="142" t="s">
        <v>228</v>
      </c>
      <c r="D175" s="33"/>
      <c r="E175" s="33"/>
      <c r="F175" s="33"/>
      <c r="G175" s="33"/>
      <c r="H175" s="33"/>
      <c r="I175" s="33"/>
      <c r="J175" s="33"/>
      <c r="K175" s="33"/>
      <c r="L175" s="308">
        <v>0</v>
      </c>
      <c r="M175" s="309"/>
      <c r="N175" s="309"/>
      <c r="O175" s="310"/>
      <c r="P175" s="343">
        <f>P174-T174</f>
        <v>11507123.122422218</v>
      </c>
      <c r="Q175" s="344"/>
      <c r="R175" s="344"/>
      <c r="S175" s="345"/>
      <c r="T175" s="311">
        <f>L175</f>
        <v>0</v>
      </c>
      <c r="U175" s="312"/>
      <c r="V175" s="312"/>
      <c r="W175" s="313"/>
      <c r="X175" s="2"/>
    </row>
    <row r="176" spans="2:24">
      <c r="B176" s="7"/>
      <c r="C176" s="116" t="s">
        <v>229</v>
      </c>
      <c r="D176" s="94"/>
      <c r="E176" s="94"/>
      <c r="F176" s="94"/>
      <c r="G176" s="94"/>
      <c r="H176" s="94"/>
      <c r="I176" s="94"/>
      <c r="J176" s="94"/>
      <c r="K176" s="94"/>
      <c r="L176" s="336">
        <f>SUM(L177:O177)</f>
        <v>0</v>
      </c>
      <c r="M176" s="337"/>
      <c r="N176" s="337"/>
      <c r="O176" s="338"/>
      <c r="P176" s="339">
        <f>P175-T175</f>
        <v>11507123.122422218</v>
      </c>
      <c r="Q176" s="340"/>
      <c r="R176" s="340"/>
      <c r="S176" s="341"/>
      <c r="T176" s="339">
        <f>SUM(T177)</f>
        <v>0</v>
      </c>
      <c r="U176" s="340"/>
      <c r="V176" s="340"/>
      <c r="W176" s="342"/>
      <c r="X176" s="2"/>
    </row>
    <row r="177" spans="2:26">
      <c r="B177" s="7"/>
      <c r="C177" s="108" t="s">
        <v>223</v>
      </c>
      <c r="D177" s="109"/>
      <c r="E177" s="109"/>
      <c r="F177" s="109"/>
      <c r="G177" s="109"/>
      <c r="H177" s="109"/>
      <c r="I177" s="109"/>
      <c r="J177" s="109"/>
      <c r="K177" s="109"/>
      <c r="L177" s="332">
        <v>0</v>
      </c>
      <c r="M177" s="333"/>
      <c r="N177" s="100"/>
      <c r="O177" s="132"/>
      <c r="P177" s="334">
        <f>P176</f>
        <v>11507123.122422218</v>
      </c>
      <c r="Q177" s="335"/>
      <c r="R177" s="169"/>
      <c r="S177" s="170"/>
      <c r="T177" s="330">
        <f>L177</f>
        <v>0</v>
      </c>
      <c r="U177" s="331"/>
      <c r="V177" s="95"/>
      <c r="W177" s="2"/>
      <c r="X177" s="2"/>
    </row>
    <row r="178" spans="2:26">
      <c r="B178" s="7"/>
      <c r="C178" s="142" t="s">
        <v>230</v>
      </c>
      <c r="D178" s="33"/>
      <c r="E178" s="33"/>
      <c r="F178" s="33"/>
      <c r="G178" s="33"/>
      <c r="H178" s="33"/>
      <c r="I178" s="33"/>
      <c r="J178" s="33"/>
      <c r="K178" s="33"/>
      <c r="L178" s="308">
        <v>0</v>
      </c>
      <c r="M178" s="309"/>
      <c r="N178" s="309"/>
      <c r="O178" s="310"/>
      <c r="P178" s="343">
        <f>P176-T176</f>
        <v>11507123.122422218</v>
      </c>
      <c r="Q178" s="344"/>
      <c r="R178" s="344"/>
      <c r="S178" s="345"/>
      <c r="T178" s="311">
        <f>L178</f>
        <v>0</v>
      </c>
      <c r="U178" s="312"/>
      <c r="V178" s="312"/>
      <c r="W178" s="313"/>
      <c r="X178" s="2"/>
    </row>
    <row r="179" spans="2:26">
      <c r="B179" s="7"/>
      <c r="C179" s="142" t="s">
        <v>231</v>
      </c>
      <c r="D179" s="33"/>
      <c r="E179" s="33"/>
      <c r="F179" s="33"/>
      <c r="G179" s="33"/>
      <c r="H179" s="33"/>
      <c r="I179" s="33"/>
      <c r="J179" s="33"/>
      <c r="K179" s="33"/>
      <c r="L179" s="308">
        <v>0</v>
      </c>
      <c r="M179" s="309"/>
      <c r="N179" s="309"/>
      <c r="O179" s="310"/>
      <c r="P179" s="343">
        <f>P178-T178</f>
        <v>11507123.122422218</v>
      </c>
      <c r="Q179" s="344"/>
      <c r="R179" s="344"/>
      <c r="S179" s="345"/>
      <c r="T179" s="311">
        <f>L179</f>
        <v>0</v>
      </c>
      <c r="U179" s="312"/>
      <c r="V179" s="312"/>
      <c r="W179" s="313"/>
      <c r="X179" s="2"/>
    </row>
    <row r="180" spans="2:26">
      <c r="B180" s="7"/>
      <c r="C180" s="142" t="s">
        <v>232</v>
      </c>
      <c r="D180" s="33"/>
      <c r="E180" s="33"/>
      <c r="F180" s="33"/>
      <c r="G180" s="33"/>
      <c r="H180" s="33"/>
      <c r="I180" s="33"/>
      <c r="J180" s="33"/>
      <c r="K180" s="33"/>
      <c r="L180" s="308">
        <v>268007.54112378135</v>
      </c>
      <c r="M180" s="309"/>
      <c r="N180" s="309"/>
      <c r="O180" s="310"/>
      <c r="P180" s="343">
        <f>P179-T179</f>
        <v>11507123.122422218</v>
      </c>
      <c r="Q180" s="344"/>
      <c r="R180" s="344"/>
      <c r="S180" s="345"/>
      <c r="T180" s="311">
        <f>L180</f>
        <v>268007.54112378135</v>
      </c>
      <c r="U180" s="312"/>
      <c r="V180" s="312"/>
      <c r="W180" s="313"/>
      <c r="X180" s="2"/>
    </row>
    <row r="181" spans="2:26">
      <c r="B181" s="7"/>
      <c r="C181" s="116" t="s">
        <v>233</v>
      </c>
      <c r="D181" s="94"/>
      <c r="E181" s="94"/>
      <c r="F181" s="94"/>
      <c r="G181" s="94"/>
      <c r="H181" s="94"/>
      <c r="I181" s="94"/>
      <c r="J181" s="94"/>
      <c r="K181" s="94"/>
      <c r="L181" s="336">
        <f>SUM(L182:M184)</f>
        <v>7096176.9696373101</v>
      </c>
      <c r="M181" s="337"/>
      <c r="N181" s="337"/>
      <c r="O181" s="338"/>
      <c r="P181" s="339">
        <f>P180-T180</f>
        <v>11239115.581298437</v>
      </c>
      <c r="Q181" s="340"/>
      <c r="R181" s="340"/>
      <c r="S181" s="341"/>
      <c r="T181" s="339">
        <f>SUM(T182:T184)</f>
        <v>7096176.9696373101</v>
      </c>
      <c r="U181" s="340"/>
      <c r="V181" s="340"/>
      <c r="W181" s="342"/>
      <c r="X181" s="2"/>
    </row>
    <row r="182" spans="2:26">
      <c r="B182" s="7"/>
      <c r="C182" s="72" t="s">
        <v>234</v>
      </c>
      <c r="D182" s="37"/>
      <c r="E182" s="37"/>
      <c r="F182" s="37"/>
      <c r="G182" s="37"/>
      <c r="H182" s="37"/>
      <c r="I182" s="37"/>
      <c r="J182" s="37"/>
      <c r="K182" s="37"/>
      <c r="L182" s="326">
        <f>Q215</f>
        <v>7096176.9696373101</v>
      </c>
      <c r="M182" s="327"/>
      <c r="N182" s="100"/>
      <c r="O182" s="132"/>
      <c r="P182" s="328">
        <f>L182/$L$181*P181</f>
        <v>11239115.581298437</v>
      </c>
      <c r="Q182" s="329"/>
      <c r="R182" s="132"/>
      <c r="S182" s="171"/>
      <c r="T182" s="330">
        <f>L182</f>
        <v>7096176.9696373101</v>
      </c>
      <c r="U182" s="331"/>
      <c r="V182" s="95"/>
      <c r="W182" s="2"/>
      <c r="X182" s="2"/>
    </row>
    <row r="183" spans="2:26">
      <c r="B183" s="7"/>
      <c r="C183" s="72" t="s">
        <v>235</v>
      </c>
      <c r="D183" s="37"/>
      <c r="E183" s="37"/>
      <c r="F183" s="37"/>
      <c r="G183" s="37"/>
      <c r="H183" s="37"/>
      <c r="I183" s="37"/>
      <c r="J183" s="37"/>
      <c r="K183" s="37"/>
      <c r="L183" s="326">
        <v>0</v>
      </c>
      <c r="M183" s="327"/>
      <c r="N183" s="100"/>
      <c r="O183" s="132"/>
      <c r="P183" s="328">
        <f>L183/$L$181*P182</f>
        <v>0</v>
      </c>
      <c r="Q183" s="329"/>
      <c r="R183" s="132"/>
      <c r="S183" s="171"/>
      <c r="T183" s="330">
        <f>L183</f>
        <v>0</v>
      </c>
      <c r="U183" s="331"/>
      <c r="V183" s="95"/>
      <c r="W183" s="2"/>
      <c r="X183" s="2"/>
    </row>
    <row r="184" spans="2:26">
      <c r="B184" s="7"/>
      <c r="C184" s="108" t="s">
        <v>236</v>
      </c>
      <c r="D184" s="109"/>
      <c r="E184" s="109"/>
      <c r="F184" s="109"/>
      <c r="G184" s="109"/>
      <c r="H184" s="109"/>
      <c r="I184" s="109"/>
      <c r="J184" s="109"/>
      <c r="K184" s="109"/>
      <c r="L184" s="332">
        <v>0</v>
      </c>
      <c r="M184" s="333"/>
      <c r="N184" s="100"/>
      <c r="O184" s="132"/>
      <c r="P184" s="334">
        <f>L184/$L$181*P181</f>
        <v>0</v>
      </c>
      <c r="Q184" s="335"/>
      <c r="R184" s="132"/>
      <c r="S184" s="171"/>
      <c r="T184" s="330">
        <f>L184</f>
        <v>0</v>
      </c>
      <c r="U184" s="331"/>
      <c r="V184" s="95"/>
      <c r="W184" s="2"/>
      <c r="X184" s="2"/>
    </row>
    <row r="185" spans="2:26">
      <c r="B185" s="7"/>
      <c r="C185" s="142" t="s">
        <v>237</v>
      </c>
      <c r="D185" s="33"/>
      <c r="E185" s="33"/>
      <c r="F185" s="33"/>
      <c r="G185" s="33"/>
      <c r="H185" s="33"/>
      <c r="I185" s="33"/>
      <c r="J185" s="33"/>
      <c r="K185" s="33"/>
      <c r="L185" s="308">
        <v>4142939</v>
      </c>
      <c r="M185" s="309"/>
      <c r="N185" s="309"/>
      <c r="O185" s="310"/>
      <c r="P185" s="308">
        <f>P181-T181</f>
        <v>4142938.6116611268</v>
      </c>
      <c r="Q185" s="309"/>
      <c r="R185" s="309"/>
      <c r="S185" s="310"/>
      <c r="T185" s="311">
        <f>L185</f>
        <v>4142939</v>
      </c>
      <c r="U185" s="312"/>
      <c r="V185" s="312"/>
      <c r="W185" s="313"/>
      <c r="X185" s="2"/>
    </row>
    <row r="186" spans="2:26" ht="15" thickBot="1">
      <c r="B186" s="7"/>
      <c r="C186" s="172" t="s">
        <v>238</v>
      </c>
      <c r="D186" s="83"/>
      <c r="E186" s="83"/>
      <c r="F186" s="83"/>
      <c r="G186" s="83"/>
      <c r="H186" s="83"/>
      <c r="I186" s="83"/>
      <c r="J186" s="83"/>
      <c r="K186" s="83"/>
      <c r="L186" s="314">
        <v>0</v>
      </c>
      <c r="M186" s="315"/>
      <c r="N186" s="315"/>
      <c r="O186" s="316"/>
      <c r="P186" s="317">
        <f>P185-T185</f>
        <v>-0.38833887316286564</v>
      </c>
      <c r="Q186" s="318"/>
      <c r="R186" s="318"/>
      <c r="S186" s="319"/>
      <c r="T186" s="320">
        <f>L186</f>
        <v>0</v>
      </c>
      <c r="U186" s="321"/>
      <c r="V186" s="321"/>
      <c r="W186" s="322"/>
      <c r="X186" s="2"/>
    </row>
    <row r="187" spans="2:26" ht="15" thickBot="1">
      <c r="B187" s="7"/>
      <c r="C187" s="323" t="s">
        <v>239</v>
      </c>
      <c r="D187" s="324"/>
      <c r="E187" s="324"/>
      <c r="F187" s="324"/>
      <c r="G187" s="324"/>
      <c r="H187" s="324"/>
      <c r="I187" s="324"/>
      <c r="J187" s="324"/>
      <c r="K187" s="325"/>
      <c r="L187" s="301">
        <f>SUM(L139,L140,L143,L146,L150,L151,L152,L156:O162,L169:O171,L174:O176,L178:O181,L185:O186)</f>
        <v>121726148.06645551</v>
      </c>
      <c r="M187" s="302"/>
      <c r="N187" s="302"/>
      <c r="O187" s="303"/>
      <c r="P187" s="301">
        <f>P139</f>
        <v>121726147.67811665</v>
      </c>
      <c r="Q187" s="302"/>
      <c r="R187" s="302"/>
      <c r="S187" s="303"/>
      <c r="T187" s="301">
        <f>P187</f>
        <v>121726147.67811665</v>
      </c>
      <c r="U187" s="302"/>
      <c r="V187" s="302"/>
      <c r="W187" s="304"/>
      <c r="X187" s="2"/>
      <c r="Z187" s="26"/>
    </row>
    <row r="188" spans="2:26" ht="15" thickBot="1">
      <c r="B188" s="7"/>
      <c r="C188" s="127"/>
      <c r="D188" s="9"/>
      <c r="E188" s="9"/>
      <c r="F188" s="9"/>
      <c r="G188" s="9"/>
      <c r="H188" s="9"/>
      <c r="I188" s="9"/>
      <c r="J188" s="9"/>
      <c r="K188" s="9"/>
      <c r="L188" s="9"/>
      <c r="M188" s="9"/>
      <c r="N188" s="9"/>
      <c r="O188" s="9"/>
      <c r="P188" s="9"/>
      <c r="Q188" s="9"/>
      <c r="R188" s="9"/>
      <c r="S188" s="9"/>
      <c r="T188" s="9"/>
      <c r="U188" s="9"/>
      <c r="V188" s="9"/>
      <c r="W188" s="2"/>
      <c r="X188" s="2"/>
    </row>
    <row r="189" spans="2:26">
      <c r="B189" s="7"/>
      <c r="C189" s="305" t="s">
        <v>240</v>
      </c>
      <c r="D189" s="306"/>
      <c r="E189" s="306"/>
      <c r="F189" s="306"/>
      <c r="G189" s="306"/>
      <c r="H189" s="306"/>
      <c r="I189" s="306"/>
      <c r="J189" s="306"/>
      <c r="K189" s="306"/>
      <c r="L189" s="306"/>
      <c r="M189" s="306"/>
      <c r="N189" s="306"/>
      <c r="O189" s="306"/>
      <c r="P189" s="306"/>
      <c r="Q189" s="306"/>
      <c r="R189" s="306"/>
      <c r="S189" s="306"/>
      <c r="T189" s="306"/>
      <c r="U189" s="306"/>
      <c r="V189" s="306"/>
      <c r="W189" s="307"/>
      <c r="X189" s="2"/>
    </row>
    <row r="190" spans="2:26">
      <c r="B190" s="7"/>
      <c r="C190" s="142" t="s">
        <v>241</v>
      </c>
      <c r="D190" s="173"/>
      <c r="E190" s="173"/>
      <c r="F190" s="173"/>
      <c r="G190" s="173"/>
      <c r="H190" s="173"/>
      <c r="I190" s="173"/>
      <c r="J190" s="173"/>
      <c r="K190" s="173"/>
      <c r="L190" s="173"/>
      <c r="M190" s="173"/>
      <c r="N190" s="173"/>
      <c r="O190" s="173"/>
      <c r="P190" s="174"/>
      <c r="Q190" s="295">
        <v>33219778</v>
      </c>
      <c r="R190" s="295"/>
      <c r="S190" s="295"/>
      <c r="T190" s="295"/>
      <c r="U190" s="295"/>
      <c r="V190" s="295"/>
      <c r="W190" s="296"/>
      <c r="X190" s="2"/>
    </row>
    <row r="191" spans="2:26">
      <c r="B191" s="7"/>
      <c r="C191" s="142" t="s">
        <v>242</v>
      </c>
      <c r="D191" s="22"/>
      <c r="E191" s="22"/>
      <c r="F191" s="22"/>
      <c r="G191" s="22"/>
      <c r="H191" s="22"/>
      <c r="I191" s="22"/>
      <c r="J191" s="22"/>
      <c r="K191" s="22"/>
      <c r="L191" s="22"/>
      <c r="M191" s="22"/>
      <c r="N191" s="22"/>
      <c r="O191" s="22"/>
      <c r="P191" s="143"/>
      <c r="Q191" s="295">
        <v>33219778</v>
      </c>
      <c r="R191" s="295"/>
      <c r="S191" s="295"/>
      <c r="T191" s="295"/>
      <c r="U191" s="295"/>
      <c r="V191" s="295"/>
      <c r="W191" s="296"/>
      <c r="X191" s="2"/>
    </row>
    <row r="192" spans="2:26">
      <c r="B192" s="7"/>
      <c r="C192" s="23" t="s">
        <v>243</v>
      </c>
      <c r="D192" s="22"/>
      <c r="E192" s="22"/>
      <c r="F192" s="22"/>
      <c r="G192" s="22"/>
      <c r="H192" s="22"/>
      <c r="I192" s="22"/>
      <c r="J192" s="22"/>
      <c r="K192" s="22"/>
      <c r="L192" s="22"/>
      <c r="M192" s="22"/>
      <c r="N192" s="22"/>
      <c r="O192" s="22"/>
      <c r="P192" s="143"/>
      <c r="Q192" s="295">
        <v>33219778</v>
      </c>
      <c r="R192" s="295"/>
      <c r="S192" s="295"/>
      <c r="T192" s="295"/>
      <c r="U192" s="295"/>
      <c r="V192" s="295"/>
      <c r="W192" s="296"/>
      <c r="X192" s="2"/>
    </row>
    <row r="193" spans="2:24">
      <c r="B193" s="7"/>
      <c r="C193" s="23" t="s">
        <v>244</v>
      </c>
      <c r="D193" s="22"/>
      <c r="E193" s="22"/>
      <c r="F193" s="22"/>
      <c r="G193" s="22"/>
      <c r="H193" s="22"/>
      <c r="I193" s="22"/>
      <c r="J193" s="22"/>
      <c r="K193" s="22"/>
      <c r="L193" s="22"/>
      <c r="M193" s="22"/>
      <c r="N193" s="22"/>
      <c r="O193" s="22"/>
      <c r="P193" s="143"/>
      <c r="Q193" s="295">
        <f>Q190-Q192</f>
        <v>0</v>
      </c>
      <c r="R193" s="295"/>
      <c r="S193" s="295"/>
      <c r="T193" s="295"/>
      <c r="U193" s="295"/>
      <c r="V193" s="295"/>
      <c r="W193" s="296"/>
      <c r="X193" s="2"/>
    </row>
    <row r="194" spans="2:24">
      <c r="B194" s="7"/>
      <c r="C194" s="23" t="s">
        <v>245</v>
      </c>
      <c r="D194" s="22"/>
      <c r="E194" s="22"/>
      <c r="F194" s="22"/>
      <c r="G194" s="22"/>
      <c r="H194" s="22"/>
      <c r="I194" s="22"/>
      <c r="J194" s="22"/>
      <c r="K194" s="22"/>
      <c r="L194" s="22"/>
      <c r="M194" s="22"/>
      <c r="N194" s="22"/>
      <c r="O194" s="22"/>
      <c r="P194" s="143"/>
      <c r="Q194" s="295">
        <v>0</v>
      </c>
      <c r="R194" s="295"/>
      <c r="S194" s="295"/>
      <c r="T194" s="295"/>
      <c r="U194" s="295"/>
      <c r="V194" s="295"/>
      <c r="W194" s="296"/>
      <c r="X194" s="2"/>
    </row>
    <row r="195" spans="2:24" ht="15" thickBot="1">
      <c r="B195" s="7"/>
      <c r="C195" s="27" t="s">
        <v>246</v>
      </c>
      <c r="D195" s="28"/>
      <c r="E195" s="28"/>
      <c r="F195" s="28"/>
      <c r="G195" s="28"/>
      <c r="H195" s="28"/>
      <c r="I195" s="28"/>
      <c r="J195" s="28"/>
      <c r="K195" s="28"/>
      <c r="L195" s="28"/>
      <c r="M195" s="28"/>
      <c r="N195" s="28"/>
      <c r="O195" s="28"/>
      <c r="P195" s="145"/>
      <c r="Q195" s="297">
        <f>Q192</f>
        <v>33219778</v>
      </c>
      <c r="R195" s="297"/>
      <c r="S195" s="297"/>
      <c r="T195" s="297"/>
      <c r="U195" s="297"/>
      <c r="V195" s="297"/>
      <c r="W195" s="298"/>
      <c r="X195" s="2"/>
    </row>
    <row r="196" spans="2:24" ht="15" thickBot="1">
      <c r="B196" s="7"/>
      <c r="C196" s="9"/>
      <c r="D196" s="9"/>
      <c r="E196" s="9"/>
      <c r="F196" s="9"/>
      <c r="G196" s="9"/>
      <c r="H196" s="9"/>
      <c r="I196" s="9"/>
      <c r="J196" s="9"/>
      <c r="K196" s="9"/>
      <c r="L196" s="9"/>
      <c r="M196" s="9"/>
      <c r="N196" s="9"/>
      <c r="O196" s="9"/>
      <c r="P196" s="9"/>
      <c r="Q196" s="9"/>
      <c r="R196" s="9"/>
      <c r="S196" s="9"/>
      <c r="T196" s="9"/>
      <c r="U196" s="9"/>
      <c r="V196" s="9"/>
      <c r="W196" s="2"/>
      <c r="X196" s="2"/>
    </row>
    <row r="197" spans="2:24" ht="15" thickBot="1">
      <c r="B197" s="7"/>
      <c r="C197" s="280" t="s">
        <v>247</v>
      </c>
      <c r="D197" s="281"/>
      <c r="E197" s="281"/>
      <c r="F197" s="281"/>
      <c r="G197" s="281"/>
      <c r="H197" s="281"/>
      <c r="I197" s="281"/>
      <c r="J197" s="281"/>
      <c r="K197" s="281"/>
      <c r="L197" s="281"/>
      <c r="M197" s="281"/>
      <c r="N197" s="281"/>
      <c r="O197" s="281"/>
      <c r="P197" s="281"/>
      <c r="Q197" s="281"/>
      <c r="R197" s="281"/>
      <c r="S197" s="281"/>
      <c r="T197" s="281"/>
      <c r="U197" s="281"/>
      <c r="V197" s="281"/>
      <c r="W197" s="282"/>
      <c r="X197" s="2"/>
    </row>
    <row r="198" spans="2:24">
      <c r="B198" s="7"/>
      <c r="C198" s="139" t="s">
        <v>248</v>
      </c>
      <c r="D198" s="175"/>
      <c r="E198" s="175"/>
      <c r="F198" s="175"/>
      <c r="G198" s="175"/>
      <c r="H198" s="175"/>
      <c r="I198" s="175"/>
      <c r="J198" s="175"/>
      <c r="K198" s="175"/>
      <c r="L198" s="175"/>
      <c r="M198" s="175"/>
      <c r="N198" s="175"/>
      <c r="O198" s="175"/>
      <c r="P198" s="176"/>
      <c r="Q198" s="299">
        <v>0</v>
      </c>
      <c r="R198" s="299"/>
      <c r="S198" s="299"/>
      <c r="T198" s="299"/>
      <c r="U198" s="299"/>
      <c r="V198" s="299"/>
      <c r="W198" s="300"/>
      <c r="X198" s="2"/>
    </row>
    <row r="199" spans="2:24">
      <c r="B199" s="7"/>
      <c r="C199" s="142" t="s">
        <v>249</v>
      </c>
      <c r="D199" s="173"/>
      <c r="E199" s="173"/>
      <c r="F199" s="173"/>
      <c r="G199" s="173"/>
      <c r="H199" s="173"/>
      <c r="I199" s="173"/>
      <c r="J199" s="173"/>
      <c r="K199" s="173"/>
      <c r="L199" s="173"/>
      <c r="M199" s="173"/>
      <c r="N199" s="173"/>
      <c r="O199" s="173"/>
      <c r="P199" s="174"/>
      <c r="Q199" s="293">
        <v>0</v>
      </c>
      <c r="R199" s="293"/>
      <c r="S199" s="293"/>
      <c r="T199" s="293"/>
      <c r="U199" s="293"/>
      <c r="V199" s="293"/>
      <c r="W199" s="294"/>
      <c r="X199" s="2"/>
    </row>
    <row r="200" spans="2:24">
      <c r="B200" s="7"/>
      <c r="C200" s="142" t="s">
        <v>250</v>
      </c>
      <c r="D200" s="173"/>
      <c r="E200" s="173"/>
      <c r="F200" s="173"/>
      <c r="G200" s="173"/>
      <c r="H200" s="173"/>
      <c r="I200" s="173"/>
      <c r="J200" s="173"/>
      <c r="K200" s="173"/>
      <c r="L200" s="173"/>
      <c r="M200" s="173"/>
      <c r="N200" s="173"/>
      <c r="O200" s="173"/>
      <c r="P200" s="174"/>
      <c r="Q200" s="293">
        <v>0</v>
      </c>
      <c r="R200" s="293"/>
      <c r="S200" s="293"/>
      <c r="T200" s="293"/>
      <c r="U200" s="293"/>
      <c r="V200" s="293"/>
      <c r="W200" s="294"/>
      <c r="X200" s="2"/>
    </row>
    <row r="201" spans="2:24">
      <c r="B201" s="7"/>
      <c r="C201" s="142" t="s">
        <v>251</v>
      </c>
      <c r="D201" s="173"/>
      <c r="E201" s="173"/>
      <c r="F201" s="173"/>
      <c r="G201" s="173"/>
      <c r="H201" s="173"/>
      <c r="I201" s="173"/>
      <c r="J201" s="173"/>
      <c r="K201" s="173"/>
      <c r="L201" s="173"/>
      <c r="M201" s="173"/>
      <c r="N201" s="173"/>
      <c r="O201" s="173"/>
      <c r="P201" s="174"/>
      <c r="Q201" s="293">
        <f>Q198+Q199-Q200</f>
        <v>0</v>
      </c>
      <c r="R201" s="293"/>
      <c r="S201" s="293"/>
      <c r="T201" s="293"/>
      <c r="U201" s="293"/>
      <c r="V201" s="293"/>
      <c r="W201" s="294"/>
      <c r="X201" s="2"/>
    </row>
    <row r="202" spans="2:24">
      <c r="B202" s="7"/>
      <c r="C202" s="142" t="s">
        <v>252</v>
      </c>
      <c r="D202" s="173"/>
      <c r="E202" s="173"/>
      <c r="F202" s="173"/>
      <c r="G202" s="173"/>
      <c r="H202" s="173"/>
      <c r="I202" s="173"/>
      <c r="J202" s="173"/>
      <c r="K202" s="173"/>
      <c r="L202" s="173"/>
      <c r="M202" s="173"/>
      <c r="N202" s="173"/>
      <c r="O202" s="173"/>
      <c r="P202" s="174"/>
      <c r="Q202" s="293">
        <v>0</v>
      </c>
      <c r="R202" s="293"/>
      <c r="S202" s="293"/>
      <c r="T202" s="293"/>
      <c r="U202" s="293"/>
      <c r="V202" s="293"/>
      <c r="W202" s="294"/>
      <c r="X202" s="2"/>
    </row>
    <row r="203" spans="2:24">
      <c r="B203" s="7"/>
      <c r="C203" s="142" t="s">
        <v>253</v>
      </c>
      <c r="D203" s="173"/>
      <c r="E203" s="173"/>
      <c r="F203" s="173"/>
      <c r="G203" s="173"/>
      <c r="H203" s="173"/>
      <c r="I203" s="173"/>
      <c r="J203" s="173"/>
      <c r="K203" s="173"/>
      <c r="L203" s="173"/>
      <c r="M203" s="173"/>
      <c r="N203" s="173"/>
      <c r="O203" s="173"/>
      <c r="P203" s="174"/>
      <c r="Q203" s="293">
        <v>0</v>
      </c>
      <c r="R203" s="293"/>
      <c r="S203" s="293"/>
      <c r="T203" s="293"/>
      <c r="U203" s="293"/>
      <c r="V203" s="293"/>
      <c r="W203" s="294"/>
      <c r="X203" s="2"/>
    </row>
    <row r="204" spans="2:24" ht="15" thickBot="1">
      <c r="B204" s="7"/>
      <c r="C204" s="172" t="s">
        <v>254</v>
      </c>
      <c r="D204" s="177"/>
      <c r="E204" s="177"/>
      <c r="F204" s="177"/>
      <c r="G204" s="177"/>
      <c r="H204" s="177"/>
      <c r="I204" s="177"/>
      <c r="J204" s="177"/>
      <c r="K204" s="177"/>
      <c r="L204" s="177"/>
      <c r="M204" s="177"/>
      <c r="N204" s="177"/>
      <c r="O204" s="177"/>
      <c r="P204" s="178"/>
      <c r="Q204" s="293">
        <f>Q201-Q202+Q203</f>
        <v>0</v>
      </c>
      <c r="R204" s="293"/>
      <c r="S204" s="293"/>
      <c r="T204" s="293"/>
      <c r="U204" s="293"/>
      <c r="V204" s="293"/>
      <c r="W204" s="294"/>
      <c r="X204" s="2"/>
    </row>
    <row r="205" spans="2:24" ht="15" thickBot="1">
      <c r="B205" s="7"/>
      <c r="C205" s="179"/>
      <c r="D205" s="180"/>
      <c r="E205" s="180"/>
      <c r="F205" s="180"/>
      <c r="G205" s="180"/>
      <c r="H205" s="180"/>
      <c r="I205" s="180"/>
      <c r="J205" s="180"/>
      <c r="K205" s="180"/>
      <c r="L205" s="180"/>
      <c r="M205" s="180"/>
      <c r="N205" s="180"/>
      <c r="O205" s="180"/>
      <c r="P205" s="181"/>
      <c r="Q205" s="181"/>
      <c r="R205" s="181"/>
      <c r="S205" s="181"/>
      <c r="T205" s="181"/>
      <c r="U205" s="181"/>
      <c r="V205" s="181"/>
      <c r="W205" s="2"/>
      <c r="X205" s="2"/>
    </row>
    <row r="206" spans="2:24" ht="15" thickBot="1">
      <c r="B206" s="7"/>
      <c r="C206" s="280" t="s">
        <v>255</v>
      </c>
      <c r="D206" s="281"/>
      <c r="E206" s="281"/>
      <c r="F206" s="281"/>
      <c r="G206" s="281"/>
      <c r="H206" s="281"/>
      <c r="I206" s="281"/>
      <c r="J206" s="281"/>
      <c r="K206" s="281"/>
      <c r="L206" s="281"/>
      <c r="M206" s="281"/>
      <c r="N206" s="281"/>
      <c r="O206" s="281"/>
      <c r="P206" s="281"/>
      <c r="Q206" s="281"/>
      <c r="R206" s="281"/>
      <c r="S206" s="281"/>
      <c r="T206" s="281"/>
      <c r="U206" s="281"/>
      <c r="V206" s="281"/>
      <c r="W206" s="282"/>
      <c r="X206" s="2"/>
    </row>
    <row r="207" spans="2:24">
      <c r="B207" s="7"/>
      <c r="C207" s="159" t="s">
        <v>256</v>
      </c>
      <c r="D207" s="11"/>
      <c r="E207" s="182"/>
      <c r="F207" s="182"/>
      <c r="G207" s="182"/>
      <c r="H207" s="182"/>
      <c r="I207" s="182"/>
      <c r="J207" s="182"/>
      <c r="K207" s="182"/>
      <c r="L207" s="182"/>
      <c r="M207" s="182"/>
      <c r="N207" s="182"/>
      <c r="O207" s="182"/>
      <c r="P207" s="283">
        <f>10%</f>
        <v>0.1</v>
      </c>
      <c r="Q207" s="284"/>
      <c r="R207" s="284"/>
      <c r="S207" s="284"/>
      <c r="T207" s="284"/>
      <c r="U207" s="284"/>
      <c r="V207" s="284"/>
      <c r="W207" s="285"/>
      <c r="X207" s="2"/>
    </row>
    <row r="208" spans="2:24">
      <c r="B208" s="7"/>
      <c r="C208" s="23"/>
      <c r="D208" s="33"/>
      <c r="E208" s="33"/>
      <c r="F208" s="33"/>
      <c r="G208" s="33"/>
      <c r="H208" s="33"/>
      <c r="I208" s="33"/>
      <c r="J208" s="33"/>
      <c r="K208" s="33"/>
      <c r="L208" s="286" t="s">
        <v>257</v>
      </c>
      <c r="M208" s="287"/>
      <c r="N208" s="288"/>
      <c r="O208" s="289" t="s">
        <v>258</v>
      </c>
      <c r="P208" s="290"/>
      <c r="Q208" s="291" t="s">
        <v>259</v>
      </c>
      <c r="R208" s="291"/>
      <c r="S208" s="291"/>
      <c r="T208" s="291"/>
      <c r="U208" s="291" t="s">
        <v>260</v>
      </c>
      <c r="V208" s="291"/>
      <c r="W208" s="292"/>
      <c r="X208" s="2"/>
    </row>
    <row r="209" spans="2:26">
      <c r="B209" s="7"/>
      <c r="C209" s="12" t="s">
        <v>261</v>
      </c>
      <c r="D209" s="37"/>
      <c r="E209" s="37"/>
      <c r="F209" s="37"/>
      <c r="G209" s="37"/>
      <c r="H209" s="37"/>
      <c r="I209" s="37"/>
      <c r="J209" s="37"/>
      <c r="K209" s="37"/>
      <c r="L209" s="264">
        <f>K14</f>
        <v>45611</v>
      </c>
      <c r="M209" s="265"/>
      <c r="N209" s="266"/>
      <c r="O209" s="267">
        <f>G29</f>
        <v>7.9329999999999998E-2</v>
      </c>
      <c r="P209" s="268"/>
      <c r="Q209" s="269">
        <v>153651392.35271823</v>
      </c>
      <c r="R209" s="269"/>
      <c r="S209" s="269"/>
      <c r="T209" s="269"/>
      <c r="U209" s="269">
        <f>Q209</f>
        <v>153651392.35271823</v>
      </c>
      <c r="V209" s="269"/>
      <c r="W209" s="270"/>
      <c r="X209" s="2"/>
    </row>
    <row r="210" spans="2:26">
      <c r="B210" s="7"/>
      <c r="C210" s="93" t="s">
        <v>262</v>
      </c>
      <c r="D210" s="14"/>
      <c r="E210" s="14"/>
      <c r="F210" s="14"/>
      <c r="G210" s="14"/>
      <c r="H210" s="14"/>
      <c r="I210" s="14"/>
      <c r="J210" s="14"/>
      <c r="K210" s="14"/>
      <c r="L210" s="271"/>
      <c r="M210" s="272"/>
      <c r="N210" s="273"/>
      <c r="O210" s="274"/>
      <c r="P210" s="275"/>
      <c r="Q210" s="276">
        <f>SUM(Q211:S213)</f>
        <v>0</v>
      </c>
      <c r="R210" s="277"/>
      <c r="S210" s="277"/>
      <c r="T210" s="277"/>
      <c r="U210" s="278">
        <f>Q210</f>
        <v>0</v>
      </c>
      <c r="V210" s="278"/>
      <c r="W210" s="279"/>
      <c r="X210" s="2"/>
    </row>
    <row r="211" spans="2:26">
      <c r="B211" s="7"/>
      <c r="C211" s="72" t="s">
        <v>263</v>
      </c>
      <c r="D211" s="37"/>
      <c r="E211" s="37"/>
      <c r="F211" s="37"/>
      <c r="G211" s="37"/>
      <c r="H211" s="37"/>
      <c r="I211" s="37"/>
      <c r="J211" s="37"/>
      <c r="K211" s="37"/>
      <c r="L211" s="257"/>
      <c r="M211" s="258"/>
      <c r="N211" s="259"/>
      <c r="O211" s="260"/>
      <c r="P211" s="261"/>
      <c r="Q211" s="249">
        <f>U62</f>
        <v>0</v>
      </c>
      <c r="R211" s="250"/>
      <c r="S211" s="250"/>
      <c r="T211" s="184"/>
      <c r="U211" s="262">
        <f>Q211</f>
        <v>0</v>
      </c>
      <c r="V211" s="263"/>
      <c r="W211" s="185"/>
      <c r="X211" s="2"/>
    </row>
    <row r="212" spans="2:26">
      <c r="B212" s="7"/>
      <c r="C212" s="72" t="s">
        <v>264</v>
      </c>
      <c r="D212" s="37"/>
      <c r="E212" s="37"/>
      <c r="F212" s="37"/>
      <c r="G212" s="37"/>
      <c r="H212" s="37"/>
      <c r="I212" s="37"/>
      <c r="J212" s="37"/>
      <c r="K212" s="37"/>
      <c r="L212" s="257"/>
      <c r="M212" s="258"/>
      <c r="N212" s="259"/>
      <c r="O212" s="260"/>
      <c r="P212" s="261"/>
      <c r="Q212" s="249"/>
      <c r="R212" s="250"/>
      <c r="S212" s="250"/>
      <c r="T212" s="184"/>
      <c r="U212" s="262"/>
      <c r="V212" s="263"/>
      <c r="W212" s="185"/>
      <c r="X212" s="2"/>
    </row>
    <row r="213" spans="2:26">
      <c r="B213" s="7"/>
      <c r="C213" s="72" t="s">
        <v>265</v>
      </c>
      <c r="D213" s="109"/>
      <c r="E213" s="109"/>
      <c r="F213" s="109"/>
      <c r="G213" s="109"/>
      <c r="H213" s="109"/>
      <c r="I213" s="109"/>
      <c r="J213" s="109"/>
      <c r="K213" s="109"/>
      <c r="L213" s="245"/>
      <c r="M213" s="246"/>
      <c r="N213" s="186"/>
      <c r="O213" s="247"/>
      <c r="P213" s="248"/>
      <c r="Q213" s="249"/>
      <c r="R213" s="250"/>
      <c r="S213" s="250"/>
      <c r="T213" s="184"/>
      <c r="U213" s="251"/>
      <c r="V213" s="252"/>
      <c r="W213" s="187"/>
      <c r="X213" s="2"/>
    </row>
    <row r="214" spans="2:26">
      <c r="B214" s="7"/>
      <c r="C214" s="93" t="s">
        <v>266</v>
      </c>
      <c r="D214" s="14"/>
      <c r="E214" s="253"/>
      <c r="F214" s="253"/>
      <c r="G214" s="189"/>
      <c r="H214" s="189"/>
      <c r="I214" s="189"/>
      <c r="J214" s="189"/>
      <c r="K214" s="189"/>
      <c r="L214" s="190"/>
      <c r="M214" s="190"/>
      <c r="N214" s="190"/>
      <c r="O214" s="189"/>
      <c r="P214" s="191"/>
      <c r="Q214" s="254">
        <f>U209+U210</f>
        <v>153651392.35271823</v>
      </c>
      <c r="R214" s="255"/>
      <c r="S214" s="255"/>
      <c r="T214" s="255"/>
      <c r="U214" s="255"/>
      <c r="V214" s="255"/>
      <c r="W214" s="256"/>
      <c r="X214" s="70"/>
    </row>
    <row r="215" spans="2:26">
      <c r="B215" s="7"/>
      <c r="C215" s="116" t="s">
        <v>267</v>
      </c>
      <c r="D215" s="192"/>
      <c r="E215" s="192"/>
      <c r="F215" s="192"/>
      <c r="G215" s="192"/>
      <c r="H215" s="192"/>
      <c r="I215" s="192"/>
      <c r="J215" s="192"/>
      <c r="K215" s="192"/>
      <c r="L215" s="192"/>
      <c r="M215" s="192"/>
      <c r="N215" s="192"/>
      <c r="O215" s="192"/>
      <c r="P215" s="193"/>
      <c r="Q215" s="243">
        <f>(Q209*(O209+$P$207)*$K$16/365)+(Q211*(O211+$P$207)*(K15-L211)/365)</f>
        <v>7096176.9696373101</v>
      </c>
      <c r="R215" s="243"/>
      <c r="S215" s="243"/>
      <c r="T215" s="243"/>
      <c r="U215" s="243"/>
      <c r="V215" s="243"/>
      <c r="W215" s="244"/>
      <c r="X215" s="2"/>
      <c r="Y215" s="194"/>
      <c r="Z215" s="91"/>
    </row>
    <row r="216" spans="2:26">
      <c r="B216" s="7"/>
      <c r="C216" s="116" t="s">
        <v>268</v>
      </c>
      <c r="D216" s="192"/>
      <c r="E216" s="192"/>
      <c r="F216" s="192"/>
      <c r="G216" s="192"/>
      <c r="H216" s="192"/>
      <c r="I216" s="192"/>
      <c r="J216" s="192"/>
      <c r="K216" s="192"/>
      <c r="L216" s="192"/>
      <c r="M216" s="192"/>
      <c r="N216" s="192"/>
      <c r="O216" s="192"/>
      <c r="P216" s="193"/>
      <c r="Q216" s="243">
        <v>0</v>
      </c>
      <c r="R216" s="243"/>
      <c r="S216" s="243"/>
      <c r="T216" s="243"/>
      <c r="U216" s="243"/>
      <c r="V216" s="243"/>
      <c r="W216" s="244"/>
      <c r="X216" s="2"/>
    </row>
    <row r="217" spans="2:26">
      <c r="B217" s="7"/>
      <c r="C217" s="142" t="s">
        <v>269</v>
      </c>
      <c r="D217" s="173"/>
      <c r="E217" s="173"/>
      <c r="F217" s="173"/>
      <c r="G217" s="173"/>
      <c r="H217" s="173"/>
      <c r="I217" s="173"/>
      <c r="J217" s="173"/>
      <c r="K217" s="173"/>
      <c r="L217" s="173"/>
      <c r="M217" s="173"/>
      <c r="N217" s="173"/>
      <c r="O217" s="173"/>
      <c r="P217" s="174"/>
      <c r="Q217" s="243">
        <f>T182</f>
        <v>7096176.9696373101</v>
      </c>
      <c r="R217" s="243"/>
      <c r="S217" s="243"/>
      <c r="T217" s="243"/>
      <c r="U217" s="243"/>
      <c r="V217" s="243"/>
      <c r="W217" s="244"/>
      <c r="X217" s="2"/>
    </row>
    <row r="218" spans="2:26">
      <c r="B218" s="7"/>
      <c r="C218" s="142" t="s">
        <v>270</v>
      </c>
      <c r="D218" s="173"/>
      <c r="E218" s="173"/>
      <c r="F218" s="173"/>
      <c r="G218" s="173"/>
      <c r="H218" s="173"/>
      <c r="I218" s="173"/>
      <c r="J218" s="173"/>
      <c r="K218" s="173"/>
      <c r="L218" s="173"/>
      <c r="M218" s="173"/>
      <c r="N218" s="173"/>
      <c r="O218" s="173"/>
      <c r="P218" s="174"/>
      <c r="Q218" s="243">
        <f>Q215-Q217</f>
        <v>0</v>
      </c>
      <c r="R218" s="243"/>
      <c r="S218" s="243"/>
      <c r="T218" s="243"/>
      <c r="U218" s="243"/>
      <c r="V218" s="243"/>
      <c r="W218" s="244"/>
      <c r="X218" s="2"/>
    </row>
    <row r="219" spans="2:26">
      <c r="B219" s="7"/>
      <c r="C219" s="142" t="s">
        <v>271</v>
      </c>
      <c r="D219" s="173"/>
      <c r="E219" s="173"/>
      <c r="F219" s="173"/>
      <c r="G219" s="173"/>
      <c r="H219" s="173"/>
      <c r="I219" s="173"/>
      <c r="J219" s="173"/>
      <c r="K219" s="173"/>
      <c r="L219" s="173"/>
      <c r="M219" s="173"/>
      <c r="N219" s="173"/>
      <c r="O219" s="173"/>
      <c r="P219" s="174"/>
      <c r="Q219" s="243">
        <f>L183</f>
        <v>0</v>
      </c>
      <c r="R219" s="243"/>
      <c r="S219" s="243"/>
      <c r="T219" s="243"/>
      <c r="U219" s="243"/>
      <c r="V219" s="243"/>
      <c r="W219" s="244"/>
      <c r="X219" s="2"/>
    </row>
    <row r="220" spans="2:26">
      <c r="B220" s="7"/>
      <c r="C220" s="142" t="s">
        <v>272</v>
      </c>
      <c r="D220" s="173"/>
      <c r="E220" s="173"/>
      <c r="F220" s="173"/>
      <c r="G220" s="173"/>
      <c r="H220" s="173"/>
      <c r="I220" s="173"/>
      <c r="J220" s="173"/>
      <c r="K220" s="173"/>
      <c r="L220" s="173"/>
      <c r="M220" s="173"/>
      <c r="N220" s="173"/>
      <c r="O220" s="173"/>
      <c r="P220" s="174"/>
      <c r="Q220" s="243">
        <v>0</v>
      </c>
      <c r="R220" s="243"/>
      <c r="S220" s="243"/>
      <c r="T220" s="243"/>
      <c r="U220" s="243"/>
      <c r="V220" s="243"/>
      <c r="W220" s="244"/>
      <c r="X220" s="2"/>
    </row>
    <row r="221" spans="2:26" ht="15" thickBot="1">
      <c r="B221" s="7"/>
      <c r="C221" s="144" t="s">
        <v>273</v>
      </c>
      <c r="D221" s="195"/>
      <c r="E221" s="195"/>
      <c r="F221" s="195"/>
      <c r="G221" s="195"/>
      <c r="H221" s="195"/>
      <c r="I221" s="195"/>
      <c r="J221" s="195"/>
      <c r="K221" s="195"/>
      <c r="L221" s="195"/>
      <c r="M221" s="195"/>
      <c r="N221" s="195"/>
      <c r="O221" s="195"/>
      <c r="P221" s="196"/>
      <c r="Q221" s="241">
        <f>Q214+Q218-Q219</f>
        <v>153651392.35271823</v>
      </c>
      <c r="R221" s="241"/>
      <c r="S221" s="241"/>
      <c r="T221" s="241"/>
      <c r="U221" s="241"/>
      <c r="V221" s="241"/>
      <c r="W221" s="242"/>
      <c r="X221" s="2"/>
      <c r="Z221" s="6"/>
    </row>
    <row r="222" spans="2:26" ht="15" thickBot="1">
      <c r="B222" s="197"/>
      <c r="C222" s="198"/>
      <c r="D222" s="199"/>
      <c r="E222" s="199"/>
      <c r="F222" s="199"/>
      <c r="G222" s="199"/>
      <c r="H222" s="199"/>
      <c r="I222" s="199"/>
      <c r="J222" s="199"/>
      <c r="K222" s="199"/>
      <c r="L222" s="199"/>
      <c r="M222" s="199"/>
      <c r="N222" s="199"/>
      <c r="O222" s="199"/>
      <c r="P222" s="199"/>
      <c r="Q222" s="199"/>
      <c r="R222" s="199"/>
      <c r="S222" s="199"/>
      <c r="T222" s="199"/>
      <c r="U222" s="199"/>
      <c r="V222" s="199"/>
      <c r="W222" s="200"/>
      <c r="X222" s="2"/>
    </row>
    <row r="229" spans="17:21">
      <c r="Q229" s="201"/>
      <c r="R229" s="201"/>
    </row>
    <row r="230" spans="17:21">
      <c r="S230" s="26"/>
      <c r="T230" s="26"/>
      <c r="U230" s="26"/>
    </row>
    <row r="231" spans="17:21">
      <c r="S231" s="202"/>
      <c r="T231" s="202"/>
      <c r="U231" s="202"/>
    </row>
    <row r="232" spans="17:21">
      <c r="S232" s="6"/>
      <c r="T232" s="6"/>
      <c r="U232" s="6"/>
    </row>
    <row r="233" spans="17:21">
      <c r="Q233" s="201"/>
      <c r="R233" s="201"/>
    </row>
    <row r="234" spans="17:21">
      <c r="S234" s="6"/>
    </row>
    <row r="235" spans="17:21">
      <c r="S235" s="26"/>
      <c r="T235" s="26"/>
      <c r="U235" s="26"/>
    </row>
    <row r="236" spans="17:21">
      <c r="S236" s="26"/>
      <c r="T236" s="26"/>
      <c r="U236" s="26"/>
    </row>
    <row r="237" spans="17:21">
      <c r="S237" s="8"/>
      <c r="T237" s="8"/>
      <c r="U237" s="8"/>
    </row>
    <row r="239" spans="17:21">
      <c r="S239" s="91"/>
      <c r="T239" s="91"/>
      <c r="U239" s="91"/>
    </row>
    <row r="240" spans="17:21">
      <c r="S240" s="6"/>
    </row>
    <row r="241" spans="19:19">
      <c r="S241" s="6"/>
    </row>
    <row r="242" spans="19:19">
      <c r="S242" s="8"/>
    </row>
  </sheetData>
  <mergeCells count="287">
    <mergeCell ref="C3:W4"/>
    <mergeCell ref="C6:W6"/>
    <mergeCell ref="K8:W8"/>
    <mergeCell ref="K9:W9"/>
    <mergeCell ref="C10:E11"/>
    <mergeCell ref="K10:W10"/>
    <mergeCell ref="K11:W11"/>
    <mergeCell ref="K17:W17"/>
    <mergeCell ref="K18:W18"/>
    <mergeCell ref="K19:W19"/>
    <mergeCell ref="K20:W20"/>
    <mergeCell ref="C51:W51"/>
    <mergeCell ref="C52:W52"/>
    <mergeCell ref="K12:W12"/>
    <mergeCell ref="K13:W13"/>
    <mergeCell ref="C14:E15"/>
    <mergeCell ref="K14:W14"/>
    <mergeCell ref="K15:W15"/>
    <mergeCell ref="K16:W16"/>
    <mergeCell ref="T63:W63"/>
    <mergeCell ref="T66:W66"/>
    <mergeCell ref="T81:W81"/>
    <mergeCell ref="C82:W82"/>
    <mergeCell ref="T83:W83"/>
    <mergeCell ref="T84:U84"/>
    <mergeCell ref="T53:W53"/>
    <mergeCell ref="T54:W54"/>
    <mergeCell ref="T55:W55"/>
    <mergeCell ref="T56:W56"/>
    <mergeCell ref="C59:W59"/>
    <mergeCell ref="T60:W60"/>
    <mergeCell ref="C94:W94"/>
    <mergeCell ref="T95:W95"/>
    <mergeCell ref="T96:U96"/>
    <mergeCell ref="T97:U97"/>
    <mergeCell ref="T98:U98"/>
    <mergeCell ref="T99:U99"/>
    <mergeCell ref="T85:U85"/>
    <mergeCell ref="T86:U86"/>
    <mergeCell ref="T90:U90"/>
    <mergeCell ref="T91:U91"/>
    <mergeCell ref="T92:U92"/>
    <mergeCell ref="T93:U93"/>
    <mergeCell ref="T107:U107"/>
    <mergeCell ref="T108:U108"/>
    <mergeCell ref="C110:W110"/>
    <mergeCell ref="T111:W111"/>
    <mergeCell ref="T112:W112"/>
    <mergeCell ref="T113:W113"/>
    <mergeCell ref="C101:W101"/>
    <mergeCell ref="T102:W102"/>
    <mergeCell ref="T103:U103"/>
    <mergeCell ref="T104:U104"/>
    <mergeCell ref="T105:U105"/>
    <mergeCell ref="T106:U106"/>
    <mergeCell ref="L118:N118"/>
    <mergeCell ref="O118:Q118"/>
    <mergeCell ref="R118:T118"/>
    <mergeCell ref="U118:W118"/>
    <mergeCell ref="C120:W120"/>
    <mergeCell ref="T121:U121"/>
    <mergeCell ref="C115:W115"/>
    <mergeCell ref="L116:N116"/>
    <mergeCell ref="O116:Q116"/>
    <mergeCell ref="R116:T116"/>
    <mergeCell ref="U116:W116"/>
    <mergeCell ref="L117:N117"/>
    <mergeCell ref="O117:Q117"/>
    <mergeCell ref="R117:T117"/>
    <mergeCell ref="U117:W117"/>
    <mergeCell ref="T128:U128"/>
    <mergeCell ref="T129:U129"/>
    <mergeCell ref="T130:U130"/>
    <mergeCell ref="T131:U131"/>
    <mergeCell ref="T132:U132"/>
    <mergeCell ref="T133:W133"/>
    <mergeCell ref="T122:U122"/>
    <mergeCell ref="T123:U123"/>
    <mergeCell ref="T124:W124"/>
    <mergeCell ref="T125:U125"/>
    <mergeCell ref="T126:U126"/>
    <mergeCell ref="T127:U127"/>
    <mergeCell ref="L139:O139"/>
    <mergeCell ref="P139:S139"/>
    <mergeCell ref="T139:W139"/>
    <mergeCell ref="L140:O140"/>
    <mergeCell ref="P140:S140"/>
    <mergeCell ref="T140:W140"/>
    <mergeCell ref="T134:U134"/>
    <mergeCell ref="T135:W135"/>
    <mergeCell ref="C137:W137"/>
    <mergeCell ref="C138:K138"/>
    <mergeCell ref="L138:O138"/>
    <mergeCell ref="P138:S138"/>
    <mergeCell ref="T138:W138"/>
    <mergeCell ref="L143:O143"/>
    <mergeCell ref="P143:S143"/>
    <mergeCell ref="T143:W143"/>
    <mergeCell ref="L144:M144"/>
    <mergeCell ref="P144:Q144"/>
    <mergeCell ref="T144:U144"/>
    <mergeCell ref="L141:M141"/>
    <mergeCell ref="P141:Q141"/>
    <mergeCell ref="T141:U141"/>
    <mergeCell ref="L142:M142"/>
    <mergeCell ref="P142:Q142"/>
    <mergeCell ref="T142:U142"/>
    <mergeCell ref="L147:M147"/>
    <mergeCell ref="P147:Q147"/>
    <mergeCell ref="T147:U147"/>
    <mergeCell ref="L148:M148"/>
    <mergeCell ref="P148:Q148"/>
    <mergeCell ref="T148:U148"/>
    <mergeCell ref="L145:M145"/>
    <mergeCell ref="P145:Q145"/>
    <mergeCell ref="T145:U145"/>
    <mergeCell ref="L146:O146"/>
    <mergeCell ref="P146:S146"/>
    <mergeCell ref="T146:W146"/>
    <mergeCell ref="L151:O151"/>
    <mergeCell ref="P151:S151"/>
    <mergeCell ref="T151:W151"/>
    <mergeCell ref="L152:O152"/>
    <mergeCell ref="P152:S152"/>
    <mergeCell ref="T152:W152"/>
    <mergeCell ref="L149:M149"/>
    <mergeCell ref="P149:Q149"/>
    <mergeCell ref="T149:U149"/>
    <mergeCell ref="L150:O150"/>
    <mergeCell ref="P150:S150"/>
    <mergeCell ref="T150:W150"/>
    <mergeCell ref="L155:M155"/>
    <mergeCell ref="P155:Q155"/>
    <mergeCell ref="T155:U155"/>
    <mergeCell ref="L156:O156"/>
    <mergeCell ref="P156:S156"/>
    <mergeCell ref="T156:W156"/>
    <mergeCell ref="L153:M153"/>
    <mergeCell ref="P153:Q153"/>
    <mergeCell ref="T153:U153"/>
    <mergeCell ref="L154:M154"/>
    <mergeCell ref="P154:Q154"/>
    <mergeCell ref="T154:U154"/>
    <mergeCell ref="L159:O159"/>
    <mergeCell ref="P159:S159"/>
    <mergeCell ref="T159:W159"/>
    <mergeCell ref="L160:O160"/>
    <mergeCell ref="P160:S160"/>
    <mergeCell ref="T160:W160"/>
    <mergeCell ref="L157:O157"/>
    <mergeCell ref="P157:S157"/>
    <mergeCell ref="T157:W157"/>
    <mergeCell ref="L158:O158"/>
    <mergeCell ref="P158:S158"/>
    <mergeCell ref="T158:W158"/>
    <mergeCell ref="L163:N163"/>
    <mergeCell ref="P163:Q163"/>
    <mergeCell ref="T163:U163"/>
    <mergeCell ref="L164:M164"/>
    <mergeCell ref="P164:Q164"/>
    <mergeCell ref="T164:U164"/>
    <mergeCell ref="L161:O161"/>
    <mergeCell ref="P161:S161"/>
    <mergeCell ref="T161:W161"/>
    <mergeCell ref="L162:O162"/>
    <mergeCell ref="P162:S162"/>
    <mergeCell ref="T162:W162"/>
    <mergeCell ref="L167:M167"/>
    <mergeCell ref="P167:Q167"/>
    <mergeCell ref="T167:U167"/>
    <mergeCell ref="L168:M168"/>
    <mergeCell ref="P168:Q168"/>
    <mergeCell ref="T168:U168"/>
    <mergeCell ref="L165:M165"/>
    <mergeCell ref="P165:Q165"/>
    <mergeCell ref="T165:U165"/>
    <mergeCell ref="L166:M166"/>
    <mergeCell ref="P166:Q166"/>
    <mergeCell ref="T166:U166"/>
    <mergeCell ref="L171:O171"/>
    <mergeCell ref="P171:S171"/>
    <mergeCell ref="T171:W171"/>
    <mergeCell ref="L172:M172"/>
    <mergeCell ref="P172:Q172"/>
    <mergeCell ref="T172:U172"/>
    <mergeCell ref="L169:O169"/>
    <mergeCell ref="P169:S169"/>
    <mergeCell ref="T169:W169"/>
    <mergeCell ref="L170:O170"/>
    <mergeCell ref="P170:S170"/>
    <mergeCell ref="T170:W170"/>
    <mergeCell ref="L175:O175"/>
    <mergeCell ref="P175:S175"/>
    <mergeCell ref="T175:W175"/>
    <mergeCell ref="L176:O176"/>
    <mergeCell ref="P176:S176"/>
    <mergeCell ref="T176:W176"/>
    <mergeCell ref="L173:M173"/>
    <mergeCell ref="P173:Q173"/>
    <mergeCell ref="T173:U173"/>
    <mergeCell ref="L174:O174"/>
    <mergeCell ref="P174:S174"/>
    <mergeCell ref="T174:W174"/>
    <mergeCell ref="L179:O179"/>
    <mergeCell ref="P179:S179"/>
    <mergeCell ref="T179:W179"/>
    <mergeCell ref="L180:O180"/>
    <mergeCell ref="P180:S180"/>
    <mergeCell ref="T180:W180"/>
    <mergeCell ref="L177:M177"/>
    <mergeCell ref="P177:Q177"/>
    <mergeCell ref="T177:U177"/>
    <mergeCell ref="L178:O178"/>
    <mergeCell ref="P178:S178"/>
    <mergeCell ref="T178:W178"/>
    <mergeCell ref="L183:M183"/>
    <mergeCell ref="P183:Q183"/>
    <mergeCell ref="T183:U183"/>
    <mergeCell ref="L184:M184"/>
    <mergeCell ref="P184:Q184"/>
    <mergeCell ref="T184:U184"/>
    <mergeCell ref="L181:O181"/>
    <mergeCell ref="P181:S181"/>
    <mergeCell ref="T181:W181"/>
    <mergeCell ref="L182:M182"/>
    <mergeCell ref="P182:Q182"/>
    <mergeCell ref="T182:U182"/>
    <mergeCell ref="L187:O187"/>
    <mergeCell ref="P187:S187"/>
    <mergeCell ref="T187:W187"/>
    <mergeCell ref="C189:W189"/>
    <mergeCell ref="Q190:W190"/>
    <mergeCell ref="Q191:W191"/>
    <mergeCell ref="L185:O185"/>
    <mergeCell ref="P185:S185"/>
    <mergeCell ref="T185:W185"/>
    <mergeCell ref="L186:O186"/>
    <mergeCell ref="P186:S186"/>
    <mergeCell ref="T186:W186"/>
    <mergeCell ref="C187:K187"/>
    <mergeCell ref="Q199:W199"/>
    <mergeCell ref="Q200:W200"/>
    <mergeCell ref="Q201:W201"/>
    <mergeCell ref="Q202:W202"/>
    <mergeCell ref="Q203:W203"/>
    <mergeCell ref="Q204:W204"/>
    <mergeCell ref="Q192:W192"/>
    <mergeCell ref="Q193:W193"/>
    <mergeCell ref="Q194:W194"/>
    <mergeCell ref="Q195:W195"/>
    <mergeCell ref="C197:W197"/>
    <mergeCell ref="Q198:W198"/>
    <mergeCell ref="L209:N209"/>
    <mergeCell ref="O209:P209"/>
    <mergeCell ref="Q209:T209"/>
    <mergeCell ref="U209:W209"/>
    <mergeCell ref="L210:N210"/>
    <mergeCell ref="O210:P210"/>
    <mergeCell ref="Q210:T210"/>
    <mergeCell ref="U210:W210"/>
    <mergeCell ref="C206:W206"/>
    <mergeCell ref="P207:W207"/>
    <mergeCell ref="L208:N208"/>
    <mergeCell ref="O208:P208"/>
    <mergeCell ref="Q208:T208"/>
    <mergeCell ref="U208:W208"/>
    <mergeCell ref="E214:F214"/>
    <mergeCell ref="Q214:W214"/>
    <mergeCell ref="L211:N211"/>
    <mergeCell ref="O211:P211"/>
    <mergeCell ref="Q211:S211"/>
    <mergeCell ref="U211:V211"/>
    <mergeCell ref="L212:N212"/>
    <mergeCell ref="O212:P212"/>
    <mergeCell ref="Q212:S212"/>
    <mergeCell ref="U212:V212"/>
    <mergeCell ref="Q221:W221"/>
    <mergeCell ref="Q215:W215"/>
    <mergeCell ref="Q216:W216"/>
    <mergeCell ref="Q217:W217"/>
    <mergeCell ref="Q218:W218"/>
    <mergeCell ref="Q219:W219"/>
    <mergeCell ref="Q220:W220"/>
    <mergeCell ref="L213:M213"/>
    <mergeCell ref="O213:P213"/>
    <mergeCell ref="Q213:S213"/>
    <mergeCell ref="U213:V213"/>
  </mergeCells>
  <pageMargins left="0.7" right="0.7" top="0.75" bottom="0.75" header="0.3" footer="0.3"/>
  <pageSetup paperSize="9" scale="23" orientation="portrait" r:id="rId1"/>
  <rowBreaks count="1" manualBreakCount="1">
    <brk id="136" min="1" max="23" man="1"/>
  </rowBreaks>
  <colBreaks count="1" manualBreakCount="1">
    <brk id="24" min="1" max="221" man="1"/>
  </colBreaks>
  <ignoredErrors>
    <ignoredError sqref="P33"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1309-758C-48EF-A429-69A7BF4CFE50}">
  <dimension ref="B1:S186"/>
  <sheetViews>
    <sheetView showGridLines="0" view="pageBreakPreview" topLeftCell="A39" zoomScale="60" zoomScaleNormal="100" workbookViewId="0">
      <selection activeCell="I71" sqref="I71:K71"/>
    </sheetView>
  </sheetViews>
  <sheetFormatPr defaultColWidth="9.33203125" defaultRowHeight="14.4"/>
  <cols>
    <col min="1" max="1" width="9.33203125" style="1"/>
    <col min="2" max="2" width="3.44140625" style="1" customWidth="1"/>
    <col min="3" max="3" width="37.6640625" style="1" customWidth="1"/>
    <col min="4" max="6" width="9.33203125" style="1"/>
    <col min="7" max="7" width="13.6640625" style="1" bestFit="1" customWidth="1"/>
    <col min="8" max="13" width="9.33203125" style="1"/>
    <col min="14" max="14" width="10.44140625" style="1" customWidth="1"/>
    <col min="15" max="15" width="4" style="1" customWidth="1"/>
    <col min="16" max="16" width="12.33203125" style="1" bestFit="1" customWidth="1"/>
    <col min="17" max="17" width="17.33203125" style="1" customWidth="1"/>
    <col min="18" max="18" width="10.5546875" style="1" bestFit="1" customWidth="1"/>
    <col min="19" max="19" width="11.5546875" style="1" bestFit="1" customWidth="1"/>
    <col min="20" max="16384" width="9.33203125" style="1"/>
  </cols>
  <sheetData>
    <row r="1" spans="2:15" ht="15" thickBot="1"/>
    <row r="2" spans="2:15" ht="15" thickBot="1">
      <c r="B2" s="3"/>
      <c r="C2" s="4"/>
      <c r="D2" s="4"/>
      <c r="E2" s="4"/>
      <c r="F2" s="4"/>
      <c r="G2" s="4"/>
      <c r="H2" s="4"/>
      <c r="I2" s="4"/>
      <c r="J2" s="4"/>
      <c r="K2" s="4"/>
      <c r="L2" s="4"/>
      <c r="M2" s="4"/>
      <c r="N2" s="4"/>
      <c r="O2" s="5"/>
    </row>
    <row r="3" spans="2:15" ht="20.25" customHeight="1">
      <c r="B3" s="7"/>
      <c r="C3" s="470" t="s">
        <v>0</v>
      </c>
      <c r="D3" s="599"/>
      <c r="E3" s="599"/>
      <c r="F3" s="599"/>
      <c r="G3" s="599"/>
      <c r="H3" s="599"/>
      <c r="I3" s="599"/>
      <c r="J3" s="599"/>
      <c r="K3" s="599"/>
      <c r="L3" s="599"/>
      <c r="M3" s="599"/>
      <c r="N3" s="600"/>
      <c r="O3" s="2"/>
    </row>
    <row r="4" spans="2:15" ht="20.25" customHeight="1" thickBot="1">
      <c r="B4" s="7"/>
      <c r="C4" s="601"/>
      <c r="D4" s="602"/>
      <c r="E4" s="602"/>
      <c r="F4" s="602"/>
      <c r="G4" s="602"/>
      <c r="H4" s="602"/>
      <c r="I4" s="602"/>
      <c r="J4" s="602"/>
      <c r="K4" s="602"/>
      <c r="L4" s="602"/>
      <c r="M4" s="602"/>
      <c r="N4" s="603"/>
      <c r="O4" s="2"/>
    </row>
    <row r="5" spans="2:15" ht="15" thickBot="1">
      <c r="B5" s="7"/>
      <c r="C5" s="9"/>
      <c r="D5" s="9"/>
      <c r="E5" s="9"/>
      <c r="F5" s="9"/>
      <c r="G5" s="9"/>
      <c r="H5" s="9"/>
      <c r="I5" s="9"/>
      <c r="J5" s="9"/>
      <c r="K5" s="9"/>
      <c r="L5" s="9"/>
      <c r="M5" s="9"/>
      <c r="N5" s="9"/>
      <c r="O5" s="2"/>
    </row>
    <row r="6" spans="2:15" ht="15" thickBot="1">
      <c r="B6" s="7"/>
      <c r="C6" s="476" t="s">
        <v>274</v>
      </c>
      <c r="D6" s="477"/>
      <c r="E6" s="477"/>
      <c r="F6" s="477"/>
      <c r="G6" s="477"/>
      <c r="H6" s="477"/>
      <c r="I6" s="477"/>
      <c r="J6" s="477"/>
      <c r="K6" s="477"/>
      <c r="L6" s="477"/>
      <c r="M6" s="477"/>
      <c r="N6" s="478"/>
      <c r="O6" s="2"/>
    </row>
    <row r="7" spans="2:15" ht="15" thickBot="1">
      <c r="B7" s="7"/>
      <c r="C7" s="9"/>
      <c r="D7" s="9"/>
      <c r="E7" s="9"/>
      <c r="F7" s="9"/>
      <c r="G7" s="9"/>
      <c r="H7" s="9"/>
      <c r="I7" s="9"/>
      <c r="J7" s="9"/>
      <c r="K7" s="9"/>
      <c r="L7" s="9"/>
      <c r="M7" s="9"/>
      <c r="N7" s="9"/>
      <c r="O7" s="2"/>
    </row>
    <row r="8" spans="2:15">
      <c r="B8" s="7"/>
      <c r="C8" s="10" t="s">
        <v>275</v>
      </c>
      <c r="D8" s="11"/>
      <c r="E8" s="11"/>
      <c r="F8" s="11"/>
      <c r="G8" s="11"/>
      <c r="H8" s="11"/>
      <c r="I8" s="203"/>
      <c r="J8" s="604">
        <v>45698</v>
      </c>
      <c r="K8" s="604"/>
      <c r="L8" s="604"/>
      <c r="M8" s="604"/>
      <c r="N8" s="605"/>
      <c r="O8" s="2"/>
    </row>
    <row r="9" spans="2:15">
      <c r="B9" s="7"/>
      <c r="C9" s="12" t="s">
        <v>276</v>
      </c>
      <c r="D9" s="13"/>
      <c r="E9" s="13"/>
      <c r="F9" s="13"/>
      <c r="G9" s="13"/>
      <c r="H9" s="13"/>
      <c r="I9" s="140"/>
      <c r="J9" s="462">
        <v>45688</v>
      </c>
      <c r="K9" s="462"/>
      <c r="L9" s="462"/>
      <c r="M9" s="462"/>
      <c r="N9" s="463"/>
      <c r="O9" s="2"/>
    </row>
    <row r="10" spans="2:15">
      <c r="B10" s="7"/>
      <c r="C10" s="464" t="s">
        <v>4</v>
      </c>
      <c r="D10" s="465"/>
      <c r="E10" s="466"/>
      <c r="F10" s="16" t="s">
        <v>277</v>
      </c>
      <c r="G10" s="13"/>
      <c r="H10" s="13"/>
      <c r="I10" s="140"/>
      <c r="J10" s="462">
        <v>45596</v>
      </c>
      <c r="K10" s="462"/>
      <c r="L10" s="462"/>
      <c r="M10" s="462"/>
      <c r="N10" s="463"/>
      <c r="O10" s="2"/>
    </row>
    <row r="11" spans="2:15">
      <c r="B11" s="7"/>
      <c r="C11" s="467"/>
      <c r="D11" s="468"/>
      <c r="E11" s="606"/>
      <c r="F11" s="19" t="s">
        <v>278</v>
      </c>
      <c r="G11" s="13"/>
      <c r="H11" s="13"/>
      <c r="I11" s="140"/>
      <c r="J11" s="462">
        <f>J9</f>
        <v>45688</v>
      </c>
      <c r="K11" s="462"/>
      <c r="L11" s="462"/>
      <c r="M11" s="462"/>
      <c r="N11" s="463"/>
      <c r="O11" s="2"/>
    </row>
    <row r="12" spans="2:15">
      <c r="B12" s="7"/>
      <c r="C12" s="204" t="s">
        <v>279</v>
      </c>
      <c r="D12" s="20"/>
      <c r="E12" s="15"/>
      <c r="F12" s="22"/>
      <c r="G12" s="13"/>
      <c r="H12" s="13"/>
      <c r="I12" s="140"/>
      <c r="J12" s="593">
        <f>J11-J10</f>
        <v>92</v>
      </c>
      <c r="K12" s="593"/>
      <c r="L12" s="593"/>
      <c r="M12" s="593"/>
      <c r="N12" s="594"/>
      <c r="O12" s="2"/>
    </row>
    <row r="13" spans="2:15">
      <c r="B13" s="7"/>
      <c r="C13" s="464" t="s">
        <v>280</v>
      </c>
      <c r="D13" s="465"/>
      <c r="E13" s="466"/>
      <c r="F13" s="16" t="s">
        <v>281</v>
      </c>
      <c r="G13" s="22"/>
      <c r="H13" s="22"/>
      <c r="I13" s="143"/>
      <c r="J13" s="595" t="s">
        <v>71</v>
      </c>
      <c r="K13" s="595"/>
      <c r="L13" s="595"/>
      <c r="M13" s="595"/>
      <c r="N13" s="596"/>
      <c r="O13" s="2"/>
    </row>
    <row r="14" spans="2:15">
      <c r="B14" s="7"/>
      <c r="C14" s="467"/>
      <c r="D14" s="468"/>
      <c r="E14" s="469"/>
      <c r="F14" s="16" t="s">
        <v>282</v>
      </c>
      <c r="G14" s="22"/>
      <c r="H14" s="22"/>
      <c r="I14" s="143"/>
      <c r="J14" s="595" t="s">
        <v>71</v>
      </c>
      <c r="K14" s="595"/>
      <c r="L14" s="595"/>
      <c r="M14" s="595"/>
      <c r="N14" s="596"/>
      <c r="O14" s="2"/>
    </row>
    <row r="15" spans="2:15">
      <c r="B15" s="7"/>
      <c r="C15" s="17" t="s">
        <v>283</v>
      </c>
      <c r="D15" s="18"/>
      <c r="E15" s="18"/>
      <c r="F15" s="22"/>
      <c r="G15" s="22"/>
      <c r="H15" s="22"/>
      <c r="I15" s="143"/>
      <c r="J15" s="462">
        <v>52366</v>
      </c>
      <c r="K15" s="462"/>
      <c r="L15" s="462"/>
      <c r="M15" s="462"/>
      <c r="N15" s="463"/>
      <c r="O15" s="2"/>
    </row>
    <row r="16" spans="2:15">
      <c r="B16" s="7"/>
      <c r="C16" s="17" t="s">
        <v>284</v>
      </c>
      <c r="D16" s="18"/>
      <c r="E16" s="18"/>
      <c r="F16" s="22"/>
      <c r="G16" s="22"/>
      <c r="H16" s="22"/>
      <c r="I16" s="143"/>
      <c r="J16" s="597">
        <v>7.9329999999999998E-2</v>
      </c>
      <c r="K16" s="597"/>
      <c r="L16" s="597"/>
      <c r="M16" s="597"/>
      <c r="N16" s="598"/>
      <c r="O16" s="2"/>
    </row>
    <row r="17" spans="2:19">
      <c r="B17" s="7"/>
      <c r="C17" s="464" t="s">
        <v>285</v>
      </c>
      <c r="D17" s="465"/>
      <c r="E17" s="466"/>
      <c r="F17" s="22" t="s">
        <v>286</v>
      </c>
      <c r="G17" s="22"/>
      <c r="H17" s="22"/>
      <c r="I17" s="143"/>
      <c r="J17" s="586">
        <v>45611</v>
      </c>
      <c r="K17" s="587"/>
      <c r="L17" s="587"/>
      <c r="M17" s="587"/>
      <c r="N17" s="588"/>
      <c r="O17" s="2"/>
    </row>
    <row r="18" spans="2:19">
      <c r="B18" s="7"/>
      <c r="C18" s="467"/>
      <c r="D18" s="468"/>
      <c r="E18" s="469"/>
      <c r="F18" s="22" t="s">
        <v>287</v>
      </c>
      <c r="G18" s="22"/>
      <c r="H18" s="22"/>
      <c r="I18" s="143"/>
      <c r="J18" s="586">
        <v>45705</v>
      </c>
      <c r="K18" s="587"/>
      <c r="L18" s="587"/>
      <c r="M18" s="587"/>
      <c r="N18" s="588"/>
      <c r="O18" s="2"/>
    </row>
    <row r="19" spans="2:19">
      <c r="B19" s="7"/>
      <c r="C19" s="23" t="s">
        <v>288</v>
      </c>
      <c r="D19" s="22"/>
      <c r="E19" s="22"/>
      <c r="F19" s="22"/>
      <c r="G19" s="22"/>
      <c r="H19" s="22"/>
      <c r="I19" s="143"/>
      <c r="J19" s="589" t="s">
        <v>373</v>
      </c>
      <c r="K19" s="589"/>
      <c r="L19" s="589"/>
      <c r="M19" s="589"/>
      <c r="N19" s="590"/>
      <c r="O19" s="2"/>
    </row>
    <row r="20" spans="2:19" ht="15" thickBot="1">
      <c r="B20" s="7"/>
      <c r="C20" s="82" t="s">
        <v>289</v>
      </c>
      <c r="D20" s="29"/>
      <c r="E20" s="29"/>
      <c r="F20" s="29"/>
      <c r="G20" s="29"/>
      <c r="H20" s="29"/>
      <c r="I20" s="29"/>
      <c r="J20" s="591" t="s">
        <v>290</v>
      </c>
      <c r="K20" s="591"/>
      <c r="L20" s="591"/>
      <c r="M20" s="591"/>
      <c r="N20" s="592"/>
      <c r="O20" s="2"/>
    </row>
    <row r="21" spans="2:19" ht="15" thickBot="1">
      <c r="B21" s="7"/>
      <c r="C21" s="7"/>
      <c r="D21" s="9"/>
      <c r="E21" s="9"/>
      <c r="F21" s="9"/>
      <c r="G21" s="9"/>
      <c r="H21" s="9"/>
      <c r="I21" s="9"/>
      <c r="J21" s="9"/>
      <c r="K21" s="9"/>
      <c r="L21" s="9"/>
      <c r="M21" s="9"/>
      <c r="N21" s="2"/>
      <c r="O21" s="2"/>
    </row>
    <row r="22" spans="2:19">
      <c r="B22" s="7"/>
      <c r="C22" s="534" t="s">
        <v>291</v>
      </c>
      <c r="D22" s="535"/>
      <c r="E22" s="535"/>
      <c r="F22" s="535"/>
      <c r="G22" s="535"/>
      <c r="H22" s="535"/>
      <c r="I22" s="535"/>
      <c r="J22" s="535"/>
      <c r="K22" s="535"/>
      <c r="L22" s="535"/>
      <c r="M22" s="535"/>
      <c r="N22" s="536"/>
      <c r="O22" s="2"/>
    </row>
    <row r="23" spans="2:19">
      <c r="B23" s="7"/>
      <c r="C23" s="581" t="s">
        <v>292</v>
      </c>
      <c r="D23" s="582"/>
      <c r="E23" s="582"/>
      <c r="F23" s="582"/>
      <c r="G23" s="582"/>
      <c r="H23" s="582"/>
      <c r="I23" s="582"/>
      <c r="J23" s="582"/>
      <c r="K23" s="582"/>
      <c r="L23" s="582"/>
      <c r="M23" s="582"/>
      <c r="N23" s="583"/>
      <c r="O23" s="2"/>
    </row>
    <row r="24" spans="2:19">
      <c r="B24" s="7"/>
      <c r="C24" s="116" t="s">
        <v>293</v>
      </c>
      <c r="D24" s="205"/>
      <c r="E24" s="205"/>
      <c r="F24" s="205"/>
      <c r="G24" s="205"/>
      <c r="H24" s="205"/>
      <c r="I24" s="206"/>
      <c r="J24" s="584">
        <v>1391661399.0514996</v>
      </c>
      <c r="K24" s="584"/>
      <c r="L24" s="584"/>
      <c r="M24" s="584"/>
      <c r="N24" s="585"/>
      <c r="O24" s="2"/>
    </row>
    <row r="25" spans="2:19">
      <c r="B25" s="7"/>
      <c r="C25" s="581" t="s">
        <v>294</v>
      </c>
      <c r="D25" s="582"/>
      <c r="E25" s="582"/>
      <c r="F25" s="582"/>
      <c r="G25" s="582"/>
      <c r="H25" s="582"/>
      <c r="I25" s="582"/>
      <c r="J25" s="582"/>
      <c r="K25" s="582"/>
      <c r="L25" s="582"/>
      <c r="M25" s="582"/>
      <c r="N25" s="583"/>
      <c r="O25" s="2"/>
    </row>
    <row r="26" spans="2:19">
      <c r="B26" s="7"/>
      <c r="C26" s="117" t="s">
        <v>295</v>
      </c>
      <c r="D26" s="207"/>
      <c r="E26" s="207"/>
      <c r="F26" s="207"/>
      <c r="G26" s="207"/>
      <c r="H26" s="207"/>
      <c r="I26" s="207"/>
      <c r="J26" s="568">
        <f>SUM(J27:M28)</f>
        <v>98954905.920000002</v>
      </c>
      <c r="K26" s="569"/>
      <c r="L26" s="569"/>
      <c r="M26" s="569"/>
      <c r="N26" s="571"/>
      <c r="O26" s="2"/>
    </row>
    <row r="27" spans="2:19">
      <c r="B27" s="7"/>
      <c r="C27" s="208" t="s">
        <v>296</v>
      </c>
      <c r="D27" s="207"/>
      <c r="E27" s="207"/>
      <c r="F27" s="207"/>
      <c r="G27" s="207"/>
      <c r="H27" s="207"/>
      <c r="I27" s="207"/>
      <c r="J27" s="364">
        <v>0</v>
      </c>
      <c r="K27" s="365"/>
      <c r="L27" s="365"/>
      <c r="M27" s="365"/>
      <c r="N27" s="209"/>
      <c r="O27" s="2"/>
    </row>
    <row r="28" spans="2:19">
      <c r="B28" s="7"/>
      <c r="C28" s="208" t="s">
        <v>297</v>
      </c>
      <c r="D28" s="207"/>
      <c r="E28" s="207"/>
      <c r="F28" s="207"/>
      <c r="G28" s="207"/>
      <c r="H28" s="207"/>
      <c r="I28" s="207"/>
      <c r="J28" s="566">
        <v>98954905.920000002</v>
      </c>
      <c r="K28" s="567"/>
      <c r="L28" s="567"/>
      <c r="M28" s="567"/>
      <c r="N28" s="209"/>
      <c r="O28" s="2"/>
    </row>
    <row r="29" spans="2:19">
      <c r="B29" s="7"/>
      <c r="C29" s="117" t="s">
        <v>298</v>
      </c>
      <c r="D29" s="207"/>
      <c r="E29" s="207"/>
      <c r="F29" s="207"/>
      <c r="G29" s="207"/>
      <c r="H29" s="207"/>
      <c r="I29" s="207"/>
      <c r="J29" s="566">
        <f>SUM(J30:M31)</f>
        <v>7594578.1790000014</v>
      </c>
      <c r="K29" s="567"/>
      <c r="L29" s="567"/>
      <c r="M29" s="567"/>
      <c r="N29" s="567"/>
      <c r="O29" s="210"/>
    </row>
    <row r="30" spans="2:19">
      <c r="B30" s="7"/>
      <c r="C30" s="208" t="s">
        <v>299</v>
      </c>
      <c r="D30" s="207"/>
      <c r="E30" s="207"/>
      <c r="F30" s="207"/>
      <c r="G30" s="207"/>
      <c r="H30" s="207"/>
      <c r="I30" s="207"/>
      <c r="J30" s="566">
        <v>6807604.6700000018</v>
      </c>
      <c r="K30" s="567"/>
      <c r="L30" s="567"/>
      <c r="M30" s="567"/>
      <c r="N30" s="209"/>
      <c r="O30" s="2"/>
      <c r="Q30" s="91"/>
      <c r="R30" s="91"/>
      <c r="S30" s="91"/>
    </row>
    <row r="31" spans="2:19">
      <c r="B31" s="7"/>
      <c r="C31" s="208" t="s">
        <v>300</v>
      </c>
      <c r="D31" s="207"/>
      <c r="E31" s="207"/>
      <c r="F31" s="207"/>
      <c r="G31" s="207"/>
      <c r="H31" s="207"/>
      <c r="I31" s="207"/>
      <c r="J31" s="362">
        <v>786973.50899999985</v>
      </c>
      <c r="K31" s="363"/>
      <c r="L31" s="363"/>
      <c r="M31" s="363"/>
      <c r="N31" s="211"/>
      <c r="O31" s="2"/>
    </row>
    <row r="32" spans="2:19">
      <c r="B32" s="7"/>
      <c r="C32" s="581" t="s">
        <v>301</v>
      </c>
      <c r="D32" s="582"/>
      <c r="E32" s="582"/>
      <c r="F32" s="582"/>
      <c r="G32" s="582"/>
      <c r="H32" s="582"/>
      <c r="I32" s="582"/>
      <c r="J32" s="582"/>
      <c r="K32" s="582"/>
      <c r="L32" s="582"/>
      <c r="M32" s="582"/>
      <c r="N32" s="583"/>
      <c r="O32" s="2"/>
    </row>
    <row r="33" spans="2:17">
      <c r="B33" s="7"/>
      <c r="C33" s="116" t="s">
        <v>302</v>
      </c>
      <c r="D33" s="205"/>
      <c r="E33" s="205"/>
      <c r="F33" s="205"/>
      <c r="G33" s="205"/>
      <c r="H33" s="205"/>
      <c r="I33" s="205"/>
      <c r="J33" s="568">
        <f>SUM(J34:M36)</f>
        <v>64543922.000000037</v>
      </c>
      <c r="K33" s="569"/>
      <c r="L33" s="569"/>
      <c r="M33" s="569"/>
      <c r="N33" s="571"/>
      <c r="O33" s="2"/>
    </row>
    <row r="34" spans="2:17">
      <c r="B34" s="7"/>
      <c r="C34" s="72" t="s">
        <v>303</v>
      </c>
      <c r="D34" s="207"/>
      <c r="E34" s="207"/>
      <c r="F34" s="207"/>
      <c r="G34" s="207"/>
      <c r="H34" s="207"/>
      <c r="I34" s="212"/>
      <c r="J34" s="566">
        <v>16628033.370000012</v>
      </c>
      <c r="K34" s="567"/>
      <c r="L34" s="567"/>
      <c r="M34" s="567"/>
      <c r="N34" s="209"/>
      <c r="O34" s="2"/>
    </row>
    <row r="35" spans="2:17">
      <c r="B35" s="7"/>
      <c r="C35" s="72" t="s">
        <v>304</v>
      </c>
      <c r="D35" s="207"/>
      <c r="E35" s="207"/>
      <c r="F35" s="207"/>
      <c r="G35" s="207"/>
      <c r="H35" s="207"/>
      <c r="I35" s="212"/>
      <c r="J35" s="567">
        <v>47915888.630000025</v>
      </c>
      <c r="K35" s="567"/>
      <c r="L35" s="567"/>
      <c r="M35" s="567"/>
      <c r="N35" s="213"/>
      <c r="O35" s="2"/>
      <c r="Q35" s="6"/>
    </row>
    <row r="36" spans="2:17">
      <c r="B36" s="7"/>
      <c r="C36" s="108" t="s">
        <v>305</v>
      </c>
      <c r="D36" s="214"/>
      <c r="E36" s="214"/>
      <c r="F36" s="214"/>
      <c r="G36" s="214"/>
      <c r="H36" s="214"/>
      <c r="I36" s="215"/>
      <c r="J36" s="567">
        <v>0</v>
      </c>
      <c r="K36" s="567"/>
      <c r="L36" s="567"/>
      <c r="M36" s="567"/>
      <c r="N36" s="213"/>
      <c r="O36" s="2"/>
    </row>
    <row r="37" spans="2:17">
      <c r="B37" s="7"/>
      <c r="C37" s="581" t="s">
        <v>306</v>
      </c>
      <c r="D37" s="582"/>
      <c r="E37" s="582"/>
      <c r="F37" s="582"/>
      <c r="G37" s="582"/>
      <c r="H37" s="582"/>
      <c r="I37" s="582"/>
      <c r="J37" s="582"/>
      <c r="K37" s="582"/>
      <c r="L37" s="582"/>
      <c r="M37" s="582"/>
      <c r="N37" s="583"/>
      <c r="O37" s="2"/>
    </row>
    <row r="38" spans="2:17">
      <c r="B38" s="7"/>
      <c r="C38" s="116" t="s">
        <v>307</v>
      </c>
      <c r="D38" s="205"/>
      <c r="E38" s="205"/>
      <c r="F38" s="205"/>
      <c r="G38" s="205"/>
      <c r="H38" s="205"/>
      <c r="I38" s="206"/>
      <c r="J38" s="569">
        <f>SUM(J39:M41)</f>
        <v>60001839.280000031</v>
      </c>
      <c r="K38" s="569"/>
      <c r="L38" s="569"/>
      <c r="M38" s="569"/>
      <c r="N38" s="571"/>
      <c r="O38" s="2"/>
      <c r="P38" s="6"/>
      <c r="Q38" s="6"/>
    </row>
    <row r="39" spans="2:17">
      <c r="B39" s="7"/>
      <c r="C39" s="72" t="s">
        <v>308</v>
      </c>
      <c r="D39" s="207"/>
      <c r="E39" s="207"/>
      <c r="F39" s="207"/>
      <c r="G39" s="207"/>
      <c r="H39" s="207"/>
      <c r="I39" s="212"/>
      <c r="J39" s="567">
        <v>12324492.550000001</v>
      </c>
      <c r="K39" s="567"/>
      <c r="L39" s="567"/>
      <c r="M39" s="567"/>
      <c r="N39" s="209"/>
      <c r="O39" s="2"/>
    </row>
    <row r="40" spans="2:17">
      <c r="B40" s="7"/>
      <c r="C40" s="72" t="s">
        <v>309</v>
      </c>
      <c r="D40" s="207"/>
      <c r="E40" s="207"/>
      <c r="F40" s="207"/>
      <c r="G40" s="207"/>
      <c r="H40" s="207"/>
      <c r="I40" s="212"/>
      <c r="J40" s="365">
        <v>47677346.730000034</v>
      </c>
      <c r="K40" s="365"/>
      <c r="L40" s="365"/>
      <c r="M40" s="365"/>
      <c r="N40" s="216"/>
      <c r="O40" s="2"/>
      <c r="Q40" s="6"/>
    </row>
    <row r="41" spans="2:17">
      <c r="B41" s="7"/>
      <c r="C41" s="108" t="s">
        <v>310</v>
      </c>
      <c r="D41" s="214"/>
      <c r="E41" s="214"/>
      <c r="F41" s="214"/>
      <c r="G41" s="214"/>
      <c r="H41" s="214"/>
      <c r="I41" s="215"/>
      <c r="J41" s="365">
        <v>0</v>
      </c>
      <c r="K41" s="365"/>
      <c r="L41" s="365"/>
      <c r="M41" s="365"/>
      <c r="N41" s="216"/>
      <c r="O41" s="2"/>
    </row>
    <row r="42" spans="2:17">
      <c r="B42" s="7"/>
      <c r="C42" s="117" t="s">
        <v>311</v>
      </c>
      <c r="D42" s="207"/>
      <c r="E42" s="207"/>
      <c r="F42" s="207"/>
      <c r="G42" s="207"/>
      <c r="H42" s="207"/>
      <c r="I42" s="212"/>
      <c r="J42" s="575">
        <v>23878306.870000001</v>
      </c>
      <c r="K42" s="576"/>
      <c r="L42" s="576"/>
      <c r="M42" s="576"/>
      <c r="N42" s="577"/>
      <c r="O42" s="2"/>
      <c r="P42" s="217"/>
      <c r="Q42" s="6"/>
    </row>
    <row r="43" spans="2:17">
      <c r="B43" s="7"/>
      <c r="C43" s="142" t="s">
        <v>312</v>
      </c>
      <c r="D43" s="218"/>
      <c r="E43" s="218"/>
      <c r="F43" s="218"/>
      <c r="G43" s="218"/>
      <c r="H43" s="218"/>
      <c r="I43" s="219"/>
      <c r="J43" s="575">
        <v>0</v>
      </c>
      <c r="K43" s="576"/>
      <c r="L43" s="576"/>
      <c r="M43" s="576"/>
      <c r="N43" s="577"/>
      <c r="O43" s="2"/>
    </row>
    <row r="44" spans="2:17">
      <c r="B44" s="7"/>
      <c r="C44" s="142" t="s">
        <v>313</v>
      </c>
      <c r="D44" s="218"/>
      <c r="E44" s="218"/>
      <c r="F44" s="218"/>
      <c r="G44" s="218"/>
      <c r="H44" s="218"/>
      <c r="I44" s="219"/>
      <c r="J44" s="368">
        <v>0</v>
      </c>
      <c r="K44" s="369"/>
      <c r="L44" s="369"/>
      <c r="M44" s="369"/>
      <c r="N44" s="578"/>
      <c r="O44" s="2"/>
    </row>
    <row r="45" spans="2:17" ht="13.95" customHeight="1">
      <c r="B45" s="7"/>
      <c r="C45" s="116" t="s">
        <v>314</v>
      </c>
      <c r="D45" s="205"/>
      <c r="E45" s="205"/>
      <c r="F45" s="205"/>
      <c r="G45" s="205"/>
      <c r="H45" s="205"/>
      <c r="I45" s="205"/>
      <c r="J45" s="568">
        <f>SUM(J46:M47)</f>
        <v>107045130</v>
      </c>
      <c r="K45" s="569"/>
      <c r="L45" s="569"/>
      <c r="M45" s="569"/>
      <c r="N45" s="571"/>
      <c r="O45" s="2"/>
    </row>
    <row r="46" spans="2:17">
      <c r="B46" s="7"/>
      <c r="C46" s="208" t="s">
        <v>123</v>
      </c>
      <c r="D46" s="207"/>
      <c r="E46" s="207"/>
      <c r="F46" s="207"/>
      <c r="G46" s="207"/>
      <c r="H46" s="207"/>
      <c r="I46" s="207"/>
      <c r="J46" s="579">
        <v>0</v>
      </c>
      <c r="K46" s="580"/>
      <c r="L46" s="580"/>
      <c r="M46" s="580"/>
      <c r="N46" s="220"/>
      <c r="O46" s="2"/>
    </row>
    <row r="47" spans="2:17">
      <c r="B47" s="7"/>
      <c r="C47" s="221" t="s">
        <v>124</v>
      </c>
      <c r="D47" s="214"/>
      <c r="E47" s="214"/>
      <c r="F47" s="214"/>
      <c r="G47" s="214"/>
      <c r="H47" s="214"/>
      <c r="I47" s="214"/>
      <c r="J47" s="559">
        <v>107045130</v>
      </c>
      <c r="K47" s="560"/>
      <c r="L47" s="560"/>
      <c r="M47" s="560"/>
      <c r="N47" s="222"/>
      <c r="O47" s="2"/>
    </row>
    <row r="48" spans="2:17">
      <c r="B48" s="7"/>
      <c r="C48" s="572" t="s">
        <v>315</v>
      </c>
      <c r="D48" s="407"/>
      <c r="E48" s="407"/>
      <c r="F48" s="407"/>
      <c r="G48" s="407"/>
      <c r="H48" s="407"/>
      <c r="I48" s="407"/>
      <c r="J48" s="407"/>
      <c r="K48" s="407"/>
      <c r="L48" s="407"/>
      <c r="M48" s="407"/>
      <c r="N48" s="409"/>
      <c r="O48" s="2"/>
    </row>
    <row r="49" spans="2:17" ht="15" thickBot="1">
      <c r="B49" s="7"/>
      <c r="C49" s="172" t="s">
        <v>316</v>
      </c>
      <c r="D49" s="223"/>
      <c r="E49" s="223"/>
      <c r="F49" s="223"/>
      <c r="G49" s="223"/>
      <c r="H49" s="223"/>
      <c r="I49" s="224"/>
      <c r="J49" s="573">
        <v>1357301909.4485004</v>
      </c>
      <c r="K49" s="573"/>
      <c r="L49" s="573"/>
      <c r="M49" s="573"/>
      <c r="N49" s="574"/>
      <c r="O49" s="2"/>
    </row>
    <row r="50" spans="2:17" ht="15" thickBot="1">
      <c r="B50" s="7"/>
      <c r="C50" s="225"/>
      <c r="D50" s="225"/>
      <c r="E50" s="225"/>
      <c r="F50" s="225"/>
      <c r="G50" s="225"/>
      <c r="H50" s="225"/>
      <c r="I50" s="225"/>
      <c r="J50" s="225"/>
      <c r="K50" s="225"/>
      <c r="L50" s="225"/>
      <c r="M50" s="225"/>
      <c r="N50" s="225"/>
      <c r="O50" s="2"/>
    </row>
    <row r="51" spans="2:17">
      <c r="B51" s="7"/>
      <c r="C51" s="534" t="s">
        <v>317</v>
      </c>
      <c r="D51" s="535"/>
      <c r="E51" s="535"/>
      <c r="F51" s="535"/>
      <c r="G51" s="535"/>
      <c r="H51" s="535"/>
      <c r="I51" s="535"/>
      <c r="J51" s="535"/>
      <c r="K51" s="535"/>
      <c r="L51" s="535"/>
      <c r="M51" s="535"/>
      <c r="N51" s="536"/>
      <c r="O51" s="2"/>
      <c r="Q51" s="91"/>
    </row>
    <row r="52" spans="2:17">
      <c r="B52" s="7"/>
      <c r="C52" s="226"/>
      <c r="D52" s="173"/>
      <c r="E52" s="173"/>
      <c r="F52" s="173"/>
      <c r="G52" s="173"/>
      <c r="H52" s="173"/>
      <c r="I52" s="289" t="s">
        <v>318</v>
      </c>
      <c r="J52" s="253"/>
      <c r="K52" s="290"/>
      <c r="L52" s="289" t="s">
        <v>319</v>
      </c>
      <c r="M52" s="253"/>
      <c r="N52" s="565"/>
      <c r="O52" s="2"/>
    </row>
    <row r="53" spans="2:17">
      <c r="B53" s="7"/>
      <c r="C53" s="142" t="s">
        <v>320</v>
      </c>
      <c r="D53" s="188"/>
      <c r="E53" s="188"/>
      <c r="F53" s="188"/>
      <c r="G53" s="188"/>
      <c r="H53" s="188"/>
      <c r="I53" s="368">
        <f>I63-I54-I58</f>
        <v>1260302910.7589998</v>
      </c>
      <c r="J53" s="369"/>
      <c r="K53" s="370"/>
      <c r="L53" s="569">
        <f>L63-L54-L58</f>
        <v>1278116758.7055004</v>
      </c>
      <c r="M53" s="569"/>
      <c r="N53" s="571"/>
      <c r="O53" s="2"/>
    </row>
    <row r="54" spans="2:17">
      <c r="B54" s="7"/>
      <c r="C54" s="116" t="s">
        <v>321</v>
      </c>
      <c r="D54" s="227"/>
      <c r="E54" s="227"/>
      <c r="F54" s="227"/>
      <c r="G54" s="227"/>
      <c r="H54" s="227"/>
      <c r="I54" s="568">
        <f>SUM(I55:J57)</f>
        <v>127672314.255</v>
      </c>
      <c r="J54" s="569"/>
      <c r="K54" s="570"/>
      <c r="L54" s="568">
        <f>SUM(L55:M57)</f>
        <v>75487501.159500018</v>
      </c>
      <c r="M54" s="569"/>
      <c r="N54" s="571"/>
      <c r="O54" s="2"/>
    </row>
    <row r="55" spans="2:17">
      <c r="B55" s="7"/>
      <c r="C55" s="72" t="s">
        <v>322</v>
      </c>
      <c r="D55" s="228"/>
      <c r="E55" s="228"/>
      <c r="F55" s="228"/>
      <c r="G55" s="228"/>
      <c r="H55" s="228"/>
      <c r="I55" s="566">
        <v>11898200.586000001</v>
      </c>
      <c r="J55" s="567"/>
      <c r="K55" s="229"/>
      <c r="L55" s="364">
        <v>15196001.841500001</v>
      </c>
      <c r="M55" s="365"/>
      <c r="N55" s="209"/>
      <c r="O55" s="2"/>
      <c r="P55" s="26"/>
    </row>
    <row r="56" spans="2:17">
      <c r="B56" s="7"/>
      <c r="C56" s="230" t="s">
        <v>323</v>
      </c>
      <c r="D56" s="228"/>
      <c r="E56" s="228"/>
      <c r="F56" s="228"/>
      <c r="G56" s="228"/>
      <c r="H56" s="228"/>
      <c r="I56" s="566">
        <v>115774113.669</v>
      </c>
      <c r="J56" s="567"/>
      <c r="K56" s="229"/>
      <c r="L56" s="364">
        <v>53666316.719000004</v>
      </c>
      <c r="M56" s="365"/>
      <c r="N56" s="209"/>
      <c r="O56" s="2"/>
    </row>
    <row r="57" spans="2:17">
      <c r="B57" s="7"/>
      <c r="C57" s="231" t="s">
        <v>324</v>
      </c>
      <c r="D57" s="232"/>
      <c r="E57" s="232"/>
      <c r="F57" s="232"/>
      <c r="G57" s="232"/>
      <c r="H57" s="232"/>
      <c r="I57" s="559">
        <v>0</v>
      </c>
      <c r="J57" s="560"/>
      <c r="K57" s="233"/>
      <c r="L57" s="362">
        <v>6625182.5990000004</v>
      </c>
      <c r="M57" s="363"/>
      <c r="N57" s="211"/>
      <c r="O57" s="2"/>
      <c r="P57" s="26"/>
    </row>
    <row r="58" spans="2:17">
      <c r="B58" s="7"/>
      <c r="C58" s="234" t="s">
        <v>325</v>
      </c>
      <c r="D58" s="227"/>
      <c r="E58" s="227"/>
      <c r="F58" s="227"/>
      <c r="G58" s="227"/>
      <c r="H58" s="227"/>
      <c r="I58" s="568">
        <f>SUM(I59:J62)</f>
        <v>3686174.0374999996</v>
      </c>
      <c r="J58" s="569"/>
      <c r="K58" s="570"/>
      <c r="L58" s="568">
        <f>SUM(L59:M62)</f>
        <v>3697649.5834999997</v>
      </c>
      <c r="M58" s="569"/>
      <c r="N58" s="571"/>
      <c r="O58" s="2"/>
    </row>
    <row r="59" spans="2:17">
      <c r="B59" s="7"/>
      <c r="C59" s="230" t="s">
        <v>326</v>
      </c>
      <c r="D59" s="228"/>
      <c r="E59" s="228"/>
      <c r="F59" s="228"/>
      <c r="G59" s="228"/>
      <c r="H59" s="228"/>
      <c r="I59" s="566">
        <v>0</v>
      </c>
      <c r="J59" s="567"/>
      <c r="K59" s="229"/>
      <c r="L59" s="566">
        <v>0</v>
      </c>
      <c r="M59" s="567"/>
      <c r="N59" s="209"/>
      <c r="O59" s="2"/>
    </row>
    <row r="60" spans="2:17">
      <c r="B60" s="7"/>
      <c r="C60" s="230" t="s">
        <v>327</v>
      </c>
      <c r="D60" s="228"/>
      <c r="E60" s="228"/>
      <c r="F60" s="228"/>
      <c r="G60" s="228"/>
      <c r="H60" s="228"/>
      <c r="I60" s="566">
        <v>0</v>
      </c>
      <c r="J60" s="567"/>
      <c r="K60" s="229"/>
      <c r="L60" s="566">
        <v>0</v>
      </c>
      <c r="M60" s="567"/>
      <c r="N60" s="209"/>
      <c r="O60" s="2"/>
    </row>
    <row r="61" spans="2:17">
      <c r="B61" s="7"/>
      <c r="C61" s="230" t="s">
        <v>328</v>
      </c>
      <c r="D61" s="228"/>
      <c r="E61" s="228"/>
      <c r="F61" s="228"/>
      <c r="G61" s="228"/>
      <c r="H61" s="228"/>
      <c r="I61" s="566">
        <v>3686174.0374999996</v>
      </c>
      <c r="J61" s="567"/>
      <c r="K61" s="229"/>
      <c r="L61" s="566">
        <v>3697649.5834999997</v>
      </c>
      <c r="M61" s="567"/>
      <c r="N61" s="209"/>
      <c r="O61" s="2"/>
    </row>
    <row r="62" spans="2:17">
      <c r="B62" s="7"/>
      <c r="C62" s="231" t="s">
        <v>329</v>
      </c>
      <c r="D62" s="232"/>
      <c r="E62" s="232"/>
      <c r="F62" s="232"/>
      <c r="G62" s="232"/>
      <c r="H62" s="232"/>
      <c r="I62" s="559">
        <v>0</v>
      </c>
      <c r="J62" s="560"/>
      <c r="K62" s="233"/>
      <c r="L62" s="559">
        <v>0</v>
      </c>
      <c r="M62" s="560"/>
      <c r="N62" s="211"/>
      <c r="O62" s="2"/>
    </row>
    <row r="63" spans="2:17" ht="15" thickBot="1">
      <c r="B63" s="7"/>
      <c r="C63" s="144" t="s">
        <v>330</v>
      </c>
      <c r="D63" s="235"/>
      <c r="E63" s="235"/>
      <c r="F63" s="235"/>
      <c r="G63" s="235"/>
      <c r="H63" s="235"/>
      <c r="I63" s="561">
        <v>1391661399.0514996</v>
      </c>
      <c r="J63" s="562"/>
      <c r="K63" s="563"/>
      <c r="L63" s="561">
        <f>J49</f>
        <v>1357301909.4485004</v>
      </c>
      <c r="M63" s="562"/>
      <c r="N63" s="564"/>
      <c r="O63" s="2"/>
    </row>
    <row r="64" spans="2:17" ht="15" thickBot="1">
      <c r="B64" s="7"/>
      <c r="C64" s="225"/>
      <c r="D64" s="225"/>
      <c r="E64" s="225"/>
      <c r="F64" s="225"/>
      <c r="G64" s="225"/>
      <c r="H64" s="225"/>
      <c r="I64" s="225"/>
      <c r="J64" s="225"/>
      <c r="K64" s="225"/>
      <c r="L64" s="225"/>
      <c r="M64" s="225"/>
      <c r="N64" s="225"/>
      <c r="O64" s="2"/>
    </row>
    <row r="65" spans="2:16">
      <c r="B65" s="7"/>
      <c r="C65" s="534" t="s">
        <v>331</v>
      </c>
      <c r="D65" s="535"/>
      <c r="E65" s="535"/>
      <c r="F65" s="535"/>
      <c r="G65" s="535"/>
      <c r="H65" s="535"/>
      <c r="I65" s="535"/>
      <c r="J65" s="535"/>
      <c r="K65" s="535"/>
      <c r="L65" s="535"/>
      <c r="M65" s="535"/>
      <c r="N65" s="536"/>
      <c r="O65" s="2"/>
    </row>
    <row r="66" spans="2:16">
      <c r="B66" s="7"/>
      <c r="C66" s="236"/>
      <c r="D66" s="218"/>
      <c r="E66" s="218"/>
      <c r="F66" s="289" t="s">
        <v>169</v>
      </c>
      <c r="G66" s="253"/>
      <c r="H66" s="290"/>
      <c r="I66" s="289" t="s">
        <v>332</v>
      </c>
      <c r="J66" s="253"/>
      <c r="K66" s="290"/>
      <c r="L66" s="289" t="s">
        <v>333</v>
      </c>
      <c r="M66" s="253"/>
      <c r="N66" s="565"/>
      <c r="O66" s="2"/>
    </row>
    <row r="67" spans="2:16">
      <c r="B67" s="7"/>
      <c r="C67" s="142" t="s">
        <v>334</v>
      </c>
      <c r="D67" s="218"/>
      <c r="E67" s="219"/>
      <c r="F67" s="553" t="s">
        <v>335</v>
      </c>
      <c r="G67" s="547"/>
      <c r="H67" s="548"/>
      <c r="I67" s="540">
        <v>0.60830435390668869</v>
      </c>
      <c r="J67" s="541"/>
      <c r="K67" s="542"/>
      <c r="L67" s="554">
        <v>0.60665574216130014</v>
      </c>
      <c r="M67" s="555"/>
      <c r="N67" s="556"/>
      <c r="O67" s="2"/>
    </row>
    <row r="68" spans="2:16">
      <c r="B68" s="7"/>
      <c r="C68" s="142" t="s">
        <v>336</v>
      </c>
      <c r="D68" s="218"/>
      <c r="E68" s="219"/>
      <c r="F68" s="546" t="s">
        <v>337</v>
      </c>
      <c r="G68" s="547"/>
      <c r="H68" s="548"/>
      <c r="I68" s="540">
        <v>0.23736877847380455</v>
      </c>
      <c r="J68" s="541"/>
      <c r="K68" s="542"/>
      <c r="L68" s="554">
        <v>0.19983987106207798</v>
      </c>
      <c r="M68" s="557"/>
      <c r="N68" s="558"/>
      <c r="O68" s="2"/>
    </row>
    <row r="69" spans="2:16">
      <c r="B69" s="7"/>
      <c r="C69" s="142" t="s">
        <v>338</v>
      </c>
      <c r="D69" s="218"/>
      <c r="E69" s="219"/>
      <c r="F69" s="546" t="s">
        <v>339</v>
      </c>
      <c r="G69" s="547"/>
      <c r="H69" s="548"/>
      <c r="I69" s="549">
        <v>44.821811972315267</v>
      </c>
      <c r="J69" s="550"/>
      <c r="K69" s="550"/>
      <c r="L69" s="549">
        <v>46.679786254136673</v>
      </c>
      <c r="M69" s="550"/>
      <c r="N69" s="551"/>
      <c r="O69" s="2"/>
    </row>
    <row r="70" spans="2:16">
      <c r="B70" s="7"/>
      <c r="C70" s="117" t="s">
        <v>340</v>
      </c>
      <c r="D70" s="228"/>
      <c r="E70" s="228"/>
      <c r="F70" s="546" t="s">
        <v>341</v>
      </c>
      <c r="G70" s="547"/>
      <c r="H70" s="548"/>
      <c r="I70" s="540">
        <v>3.1446102331869799E-2</v>
      </c>
      <c r="J70" s="541"/>
      <c r="K70" s="542"/>
      <c r="L70" s="540">
        <v>3.0944293989030001E-2</v>
      </c>
      <c r="M70" s="541"/>
      <c r="N70" s="552"/>
      <c r="O70" s="2"/>
    </row>
    <row r="71" spans="2:16">
      <c r="B71" s="7"/>
      <c r="C71" s="142" t="s">
        <v>342</v>
      </c>
      <c r="D71" s="188"/>
      <c r="E71" s="183"/>
      <c r="F71" s="537">
        <v>0.22</v>
      </c>
      <c r="G71" s="538">
        <v>0.22</v>
      </c>
      <c r="H71" s="539">
        <v>0.22</v>
      </c>
      <c r="I71" s="540">
        <v>0.16475884278048794</v>
      </c>
      <c r="J71" s="541"/>
      <c r="K71" s="542"/>
      <c r="L71" s="543">
        <v>0.16023003279231141</v>
      </c>
      <c r="M71" s="544"/>
      <c r="N71" s="545"/>
      <c r="O71" s="2"/>
    </row>
    <row r="72" spans="2:16">
      <c r="B72" s="7"/>
      <c r="C72" s="142" t="s">
        <v>343</v>
      </c>
      <c r="D72" s="228"/>
      <c r="E72" s="228"/>
      <c r="F72" s="537">
        <v>0.27</v>
      </c>
      <c r="G72" s="538">
        <v>0.27</v>
      </c>
      <c r="H72" s="539">
        <v>0.27</v>
      </c>
      <c r="I72" s="540">
        <v>0.19536022966886857</v>
      </c>
      <c r="J72" s="541"/>
      <c r="K72" s="542"/>
      <c r="L72" s="543">
        <v>0.18904405634208371</v>
      </c>
      <c r="M72" s="544"/>
      <c r="N72" s="545"/>
      <c r="O72" s="2"/>
    </row>
    <row r="73" spans="2:16">
      <c r="B73" s="7"/>
      <c r="C73" s="142" t="s">
        <v>344</v>
      </c>
      <c r="D73" s="188"/>
      <c r="E73" s="183"/>
      <c r="F73" s="537">
        <v>0.32</v>
      </c>
      <c r="G73" s="538">
        <v>0.32</v>
      </c>
      <c r="H73" s="539">
        <v>0.32</v>
      </c>
      <c r="I73" s="540">
        <v>0.22340732200907623</v>
      </c>
      <c r="J73" s="541"/>
      <c r="K73" s="542"/>
      <c r="L73" s="543">
        <v>0.21513506532356316</v>
      </c>
      <c r="M73" s="544"/>
      <c r="N73" s="545"/>
      <c r="O73" s="2"/>
    </row>
    <row r="74" spans="2:16">
      <c r="B74" s="7"/>
      <c r="C74" s="142" t="s">
        <v>345</v>
      </c>
      <c r="D74" s="188"/>
      <c r="E74" s="183"/>
      <c r="F74" s="537">
        <v>0.36</v>
      </c>
      <c r="G74" s="538">
        <v>0.36</v>
      </c>
      <c r="H74" s="539">
        <v>0.36</v>
      </c>
      <c r="I74" s="540">
        <v>0.24711193322591662</v>
      </c>
      <c r="J74" s="541"/>
      <c r="K74" s="542"/>
      <c r="L74" s="543">
        <v>0.23992537609802592</v>
      </c>
      <c r="M74" s="544"/>
      <c r="N74" s="545"/>
      <c r="O74" s="2"/>
    </row>
    <row r="75" spans="2:16" ht="15" thickBot="1">
      <c r="B75" s="7"/>
      <c r="C75" s="144" t="s">
        <v>346</v>
      </c>
      <c r="D75" s="235"/>
      <c r="E75" s="235"/>
      <c r="F75" s="525">
        <v>0.47</v>
      </c>
      <c r="G75" s="526">
        <v>0.47</v>
      </c>
      <c r="H75" s="527">
        <v>0.47</v>
      </c>
      <c r="I75" s="528">
        <v>0.2701753910985541</v>
      </c>
      <c r="J75" s="529"/>
      <c r="K75" s="530"/>
      <c r="L75" s="531">
        <v>0.26359613779470287</v>
      </c>
      <c r="M75" s="532"/>
      <c r="N75" s="533"/>
      <c r="O75" s="2"/>
    </row>
    <row r="76" spans="2:16" ht="15" thickBot="1">
      <c r="B76" s="7"/>
      <c r="C76" s="225"/>
      <c r="D76" s="225"/>
      <c r="E76" s="225"/>
      <c r="F76" s="225"/>
      <c r="G76" s="225"/>
      <c r="H76" s="225"/>
      <c r="I76" s="225"/>
      <c r="J76" s="225"/>
      <c r="K76" s="225"/>
      <c r="L76" s="225"/>
      <c r="M76" s="225"/>
      <c r="N76" s="225"/>
      <c r="O76" s="2"/>
    </row>
    <row r="77" spans="2:16">
      <c r="B77" s="7"/>
      <c r="C77" s="534" t="s">
        <v>347</v>
      </c>
      <c r="D77" s="535"/>
      <c r="E77" s="535"/>
      <c r="F77" s="535"/>
      <c r="G77" s="306"/>
      <c r="H77" s="306"/>
      <c r="I77" s="535"/>
      <c r="J77" s="535"/>
      <c r="K77" s="535"/>
      <c r="L77" s="535"/>
      <c r="M77" s="535"/>
      <c r="N77" s="536"/>
      <c r="O77" s="2"/>
    </row>
    <row r="78" spans="2:16">
      <c r="B78" s="7"/>
      <c r="C78" s="237" t="s">
        <v>348</v>
      </c>
      <c r="D78" s="188"/>
      <c r="E78" s="188"/>
      <c r="F78" s="188"/>
      <c r="G78" s="289" t="s">
        <v>349</v>
      </c>
      <c r="H78" s="290"/>
      <c r="I78" s="289" t="s">
        <v>350</v>
      </c>
      <c r="J78" s="290"/>
      <c r="K78" s="289" t="s">
        <v>351</v>
      </c>
      <c r="L78" s="290"/>
      <c r="M78" s="253" t="s">
        <v>352</v>
      </c>
      <c r="N78" s="290"/>
      <c r="O78" s="2"/>
    </row>
    <row r="79" spans="2:16">
      <c r="B79" s="7"/>
      <c r="C79" s="238" t="s">
        <v>353</v>
      </c>
      <c r="D79" s="207"/>
      <c r="E79" s="207"/>
      <c r="F79" s="207"/>
      <c r="G79" s="500">
        <v>738214460.40450001</v>
      </c>
      <c r="H79" s="501"/>
      <c r="I79" s="512">
        <f>G79/$G$84</f>
        <v>0.54388375590251103</v>
      </c>
      <c r="J79" s="505"/>
      <c r="K79" s="500">
        <v>144</v>
      </c>
      <c r="L79" s="501"/>
      <c r="M79" s="512">
        <f>K79/$K$84</f>
        <v>0.62337662337662336</v>
      </c>
      <c r="N79" s="505"/>
      <c r="O79" s="2"/>
    </row>
    <row r="80" spans="2:16">
      <c r="B80" s="7"/>
      <c r="C80" s="238" t="s">
        <v>354</v>
      </c>
      <c r="D80" s="207"/>
      <c r="E80" s="207"/>
      <c r="F80" s="207"/>
      <c r="G80" s="500">
        <v>326781438.77049994</v>
      </c>
      <c r="H80" s="501"/>
      <c r="I80" s="512">
        <f t="shared" ref="I80:I83" si="0">G80/$G$84</f>
        <v>0.24075810731252714</v>
      </c>
      <c r="J80" s="505"/>
      <c r="K80" s="500">
        <v>33</v>
      </c>
      <c r="L80" s="501"/>
      <c r="M80" s="512">
        <f t="shared" ref="M80:M83" si="1">K80/$K$84</f>
        <v>0.14285714285714285</v>
      </c>
      <c r="N80" s="505"/>
      <c r="O80" s="2"/>
      <c r="P80" s="239"/>
    </row>
    <row r="81" spans="2:15">
      <c r="B81" s="7"/>
      <c r="C81" s="238" t="s">
        <v>355</v>
      </c>
      <c r="D81" s="207"/>
      <c r="E81" s="207"/>
      <c r="F81" s="207"/>
      <c r="G81" s="500">
        <v>67477412.010000005</v>
      </c>
      <c r="H81" s="501"/>
      <c r="I81" s="512">
        <f t="shared" si="0"/>
        <v>4.9714371975957426E-2</v>
      </c>
      <c r="J81" s="505"/>
      <c r="K81" s="500">
        <v>8</v>
      </c>
      <c r="L81" s="501"/>
      <c r="M81" s="512">
        <f t="shared" si="1"/>
        <v>3.4632034632034632E-2</v>
      </c>
      <c r="N81" s="505"/>
      <c r="O81" s="2"/>
    </row>
    <row r="82" spans="2:15">
      <c r="B82" s="7"/>
      <c r="C82" s="238" t="s">
        <v>356</v>
      </c>
      <c r="D82" s="207"/>
      <c r="E82" s="207"/>
      <c r="F82" s="207"/>
      <c r="G82" s="500">
        <v>58921354.973499998</v>
      </c>
      <c r="H82" s="501"/>
      <c r="I82" s="512">
        <f t="shared" si="0"/>
        <v>4.3410647670451573E-2</v>
      </c>
      <c r="J82" s="505"/>
      <c r="K82" s="500">
        <v>13</v>
      </c>
      <c r="L82" s="501"/>
      <c r="M82" s="512">
        <f t="shared" si="1"/>
        <v>5.627705627705628E-2</v>
      </c>
      <c r="N82" s="505"/>
      <c r="O82" s="2"/>
    </row>
    <row r="83" spans="2:15">
      <c r="B83" s="7"/>
      <c r="C83" s="238" t="s">
        <v>357</v>
      </c>
      <c r="D83" s="207"/>
      <c r="E83" s="207"/>
      <c r="F83" s="207"/>
      <c r="G83" s="500">
        <v>165907243.28999996</v>
      </c>
      <c r="H83" s="501"/>
      <c r="I83" s="512">
        <f t="shared" si="0"/>
        <v>0.12223311713855287</v>
      </c>
      <c r="J83" s="505"/>
      <c r="K83" s="500">
        <v>33</v>
      </c>
      <c r="L83" s="501"/>
      <c r="M83" s="512">
        <f t="shared" si="1"/>
        <v>0.14285714285714285</v>
      </c>
      <c r="N83" s="505"/>
      <c r="O83" s="2"/>
    </row>
    <row r="84" spans="2:15">
      <c r="B84" s="7"/>
      <c r="C84" s="237" t="s">
        <v>358</v>
      </c>
      <c r="D84" s="188"/>
      <c r="E84" s="188"/>
      <c r="F84" s="188"/>
      <c r="G84" s="514">
        <f>SUM(G79:H83)</f>
        <v>1357301909.4484999</v>
      </c>
      <c r="H84" s="495"/>
      <c r="I84" s="519">
        <f>SUM(I79:J83)</f>
        <v>1</v>
      </c>
      <c r="J84" s="520"/>
      <c r="K84" s="514">
        <f>SUM(K79:L83)</f>
        <v>231</v>
      </c>
      <c r="L84" s="495"/>
      <c r="M84" s="494">
        <f>SUM(M79:N83)</f>
        <v>1</v>
      </c>
      <c r="N84" s="495"/>
      <c r="O84" s="2"/>
    </row>
    <row r="85" spans="2:15">
      <c r="B85" s="7"/>
      <c r="C85" s="225"/>
      <c r="D85" s="225"/>
      <c r="E85" s="225"/>
      <c r="F85" s="225"/>
      <c r="G85" s="225"/>
      <c r="H85" s="225"/>
      <c r="I85" s="225"/>
      <c r="J85" s="225"/>
      <c r="K85" s="225"/>
      <c r="L85" s="225"/>
      <c r="M85" s="225"/>
      <c r="N85" s="225"/>
      <c r="O85" s="2"/>
    </row>
    <row r="86" spans="2:15">
      <c r="B86" s="7"/>
      <c r="C86" s="237" t="s">
        <v>359</v>
      </c>
      <c r="D86" s="188"/>
      <c r="E86" s="188"/>
      <c r="F86" s="188"/>
      <c r="G86" s="289" t="s">
        <v>349</v>
      </c>
      <c r="H86" s="290"/>
      <c r="I86" s="289" t="s">
        <v>350</v>
      </c>
      <c r="J86" s="290"/>
      <c r="K86" s="289" t="s">
        <v>351</v>
      </c>
      <c r="L86" s="290"/>
      <c r="M86" s="253" t="s">
        <v>352</v>
      </c>
      <c r="N86" s="290"/>
      <c r="O86" s="2"/>
    </row>
    <row r="87" spans="2:15">
      <c r="B87" s="7"/>
      <c r="C87" s="238" t="s">
        <v>360</v>
      </c>
      <c r="D87" s="207"/>
      <c r="E87" s="207"/>
      <c r="F87" s="207"/>
      <c r="G87" s="500">
        <v>19612053.329</v>
      </c>
      <c r="H87" s="501"/>
      <c r="I87" s="512">
        <f>G87/$G$92</f>
        <v>1.4449293257804955E-2</v>
      </c>
      <c r="J87" s="505"/>
      <c r="K87" s="506">
        <v>13</v>
      </c>
      <c r="L87" s="507"/>
      <c r="M87" s="510">
        <f>K87/$K$92</f>
        <v>5.627705627705628E-2</v>
      </c>
      <c r="N87" s="511"/>
      <c r="O87" s="2"/>
    </row>
    <row r="88" spans="2:15">
      <c r="B88" s="7"/>
      <c r="C88" s="238" t="s">
        <v>361</v>
      </c>
      <c r="D88" s="207"/>
      <c r="E88" s="207"/>
      <c r="F88" s="207"/>
      <c r="G88" s="500">
        <v>199857108.90199998</v>
      </c>
      <c r="H88" s="501"/>
      <c r="I88" s="512">
        <f t="shared" ref="I88:I91" si="2">G88/$G$92</f>
        <v>0.14724587618329227</v>
      </c>
      <c r="J88" s="505"/>
      <c r="K88" s="500">
        <v>58</v>
      </c>
      <c r="L88" s="501"/>
      <c r="M88" s="512">
        <f t="shared" ref="M88:M91" si="3">K88/$K$92</f>
        <v>0.25108225108225107</v>
      </c>
      <c r="N88" s="505"/>
      <c r="O88" s="2"/>
    </row>
    <row r="89" spans="2:15">
      <c r="B89" s="7"/>
      <c r="C89" s="238" t="s">
        <v>362</v>
      </c>
      <c r="D89" s="207"/>
      <c r="E89" s="207"/>
      <c r="F89" s="207"/>
      <c r="G89" s="500">
        <v>354047657.14750004</v>
      </c>
      <c r="H89" s="501"/>
      <c r="I89" s="512">
        <f t="shared" si="2"/>
        <v>0.26084665075830993</v>
      </c>
      <c r="J89" s="505"/>
      <c r="K89" s="500">
        <v>59</v>
      </c>
      <c r="L89" s="501"/>
      <c r="M89" s="512">
        <f t="shared" si="3"/>
        <v>0.25541125541125542</v>
      </c>
      <c r="N89" s="505"/>
      <c r="O89" s="2"/>
    </row>
    <row r="90" spans="2:15">
      <c r="B90" s="7"/>
      <c r="C90" s="238" t="s">
        <v>363</v>
      </c>
      <c r="D90" s="207"/>
      <c r="E90" s="207"/>
      <c r="F90" s="207"/>
      <c r="G90" s="500">
        <v>512542051.49349952</v>
      </c>
      <c r="H90" s="501"/>
      <c r="I90" s="512">
        <f t="shared" si="2"/>
        <v>0.37761830873851499</v>
      </c>
      <c r="J90" s="505"/>
      <c r="K90" s="500">
        <v>70</v>
      </c>
      <c r="L90" s="501"/>
      <c r="M90" s="512">
        <f t="shared" si="3"/>
        <v>0.30303030303030304</v>
      </c>
      <c r="N90" s="505"/>
      <c r="O90" s="2"/>
    </row>
    <row r="91" spans="2:15">
      <c r="B91" s="7"/>
      <c r="C91" s="238" t="s">
        <v>364</v>
      </c>
      <c r="D91" s="207"/>
      <c r="E91" s="207"/>
      <c r="F91" s="207"/>
      <c r="G91" s="485">
        <v>271243038.57650042</v>
      </c>
      <c r="H91" s="486"/>
      <c r="I91" s="512">
        <f t="shared" si="2"/>
        <v>0.19983987106207796</v>
      </c>
      <c r="J91" s="505"/>
      <c r="K91" s="523">
        <v>31</v>
      </c>
      <c r="L91" s="524"/>
      <c r="M91" s="490">
        <f t="shared" si="3"/>
        <v>0.13419913419913421</v>
      </c>
      <c r="N91" s="491"/>
      <c r="O91" s="2"/>
    </row>
    <row r="92" spans="2:15">
      <c r="B92" s="7"/>
      <c r="C92" s="237" t="s">
        <v>358</v>
      </c>
      <c r="D92" s="188"/>
      <c r="E92" s="188"/>
      <c r="F92" s="188"/>
      <c r="G92" s="515">
        <f>SUM(G87:H91)</f>
        <v>1357301909.4484999</v>
      </c>
      <c r="H92" s="516"/>
      <c r="I92" s="494">
        <f>SUM(I87:J91)</f>
        <v>1</v>
      </c>
      <c r="J92" s="513"/>
      <c r="K92" s="517">
        <f>SUM(K87:L91)</f>
        <v>231</v>
      </c>
      <c r="L92" s="518"/>
      <c r="M92" s="519">
        <f>SUM(M87:N91)</f>
        <v>1</v>
      </c>
      <c r="N92" s="520"/>
      <c r="O92" s="2"/>
    </row>
    <row r="93" spans="2:15">
      <c r="B93" s="7"/>
      <c r="C93" s="9"/>
      <c r="D93" s="9"/>
      <c r="E93" s="9"/>
      <c r="F93" s="9"/>
      <c r="G93" s="9"/>
      <c r="H93" s="9"/>
      <c r="I93" s="9"/>
      <c r="J93" s="9"/>
      <c r="K93" s="9"/>
      <c r="L93" s="9"/>
      <c r="M93" s="9"/>
      <c r="N93" s="9"/>
      <c r="O93" s="2"/>
    </row>
    <row r="94" spans="2:15">
      <c r="B94" s="7"/>
      <c r="C94" s="237" t="s">
        <v>365</v>
      </c>
      <c r="D94" s="188"/>
      <c r="E94" s="188"/>
      <c r="F94" s="188"/>
      <c r="G94" s="289" t="s">
        <v>349</v>
      </c>
      <c r="H94" s="290"/>
      <c r="I94" s="253" t="s">
        <v>350</v>
      </c>
      <c r="J94" s="290"/>
      <c r="K94" s="289" t="s">
        <v>351</v>
      </c>
      <c r="L94" s="290"/>
      <c r="M94" s="521" t="s">
        <v>352</v>
      </c>
      <c r="N94" s="522"/>
      <c r="O94" s="2"/>
    </row>
    <row r="95" spans="2:15">
      <c r="B95" s="7"/>
      <c r="C95" s="238">
        <v>2007</v>
      </c>
      <c r="D95" s="207"/>
      <c r="E95" s="207"/>
      <c r="F95" s="207"/>
      <c r="G95" s="500">
        <v>0</v>
      </c>
      <c r="H95" s="501"/>
      <c r="I95" s="502">
        <f t="shared" ref="I95:I113" si="4">G95/$G$114</f>
        <v>0</v>
      </c>
      <c r="J95" s="505"/>
      <c r="K95" s="500">
        <v>0</v>
      </c>
      <c r="L95" s="501"/>
      <c r="M95" s="510">
        <f t="shared" ref="M95:M113" si="5">K95/$K$114</f>
        <v>0</v>
      </c>
      <c r="N95" s="511"/>
      <c r="O95" s="2"/>
    </row>
    <row r="96" spans="2:15">
      <c r="B96" s="7"/>
      <c r="C96" s="238">
        <v>2008</v>
      </c>
      <c r="D96" s="207"/>
      <c r="E96" s="207"/>
      <c r="F96" s="207"/>
      <c r="G96" s="500">
        <v>0</v>
      </c>
      <c r="H96" s="501"/>
      <c r="I96" s="502">
        <f t="shared" si="4"/>
        <v>0</v>
      </c>
      <c r="J96" s="505"/>
      <c r="K96" s="500">
        <v>0</v>
      </c>
      <c r="L96" s="501"/>
      <c r="M96" s="512">
        <f t="shared" si="5"/>
        <v>0</v>
      </c>
      <c r="N96" s="505"/>
      <c r="O96" s="2"/>
    </row>
    <row r="97" spans="2:15">
      <c r="B97" s="7"/>
      <c r="C97" s="238">
        <v>2009</v>
      </c>
      <c r="D97" s="207"/>
      <c r="E97" s="207"/>
      <c r="F97" s="207"/>
      <c r="G97" s="500">
        <v>0</v>
      </c>
      <c r="H97" s="501"/>
      <c r="I97" s="502">
        <f t="shared" si="4"/>
        <v>0</v>
      </c>
      <c r="J97" s="505"/>
      <c r="K97" s="500">
        <v>0</v>
      </c>
      <c r="L97" s="501"/>
      <c r="M97" s="512">
        <f t="shared" si="5"/>
        <v>0</v>
      </c>
      <c r="N97" s="505"/>
      <c r="O97" s="2"/>
    </row>
    <row r="98" spans="2:15">
      <c r="B98" s="7"/>
      <c r="C98" s="238">
        <v>2010</v>
      </c>
      <c r="D98" s="207"/>
      <c r="E98" s="207"/>
      <c r="F98" s="207"/>
      <c r="G98" s="500">
        <v>0</v>
      </c>
      <c r="H98" s="501"/>
      <c r="I98" s="502">
        <f t="shared" si="4"/>
        <v>0</v>
      </c>
      <c r="J98" s="505"/>
      <c r="K98" s="500">
        <v>0</v>
      </c>
      <c r="L98" s="501"/>
      <c r="M98" s="512">
        <f t="shared" si="5"/>
        <v>0</v>
      </c>
      <c r="N98" s="505"/>
      <c r="O98" s="2"/>
    </row>
    <row r="99" spans="2:15">
      <c r="B99" s="7"/>
      <c r="C99" s="238">
        <v>2011</v>
      </c>
      <c r="D99" s="207"/>
      <c r="E99" s="207"/>
      <c r="F99" s="207"/>
      <c r="G99" s="500">
        <v>0</v>
      </c>
      <c r="H99" s="501"/>
      <c r="I99" s="502">
        <f t="shared" si="4"/>
        <v>0</v>
      </c>
      <c r="J99" s="505"/>
      <c r="K99" s="500">
        <v>0</v>
      </c>
      <c r="L99" s="501"/>
      <c r="M99" s="512">
        <f t="shared" si="5"/>
        <v>0</v>
      </c>
      <c r="N99" s="505"/>
      <c r="O99" s="2"/>
    </row>
    <row r="100" spans="2:15">
      <c r="B100" s="7"/>
      <c r="C100" s="238">
        <v>2012</v>
      </c>
      <c r="D100" s="207"/>
      <c r="E100" s="207"/>
      <c r="F100" s="207"/>
      <c r="G100" s="500">
        <v>3374229.16</v>
      </c>
      <c r="H100" s="501"/>
      <c r="I100" s="502">
        <f t="shared" si="4"/>
        <v>2.4859827695748395E-3</v>
      </c>
      <c r="J100" s="505"/>
      <c r="K100" s="500">
        <v>3</v>
      </c>
      <c r="L100" s="501"/>
      <c r="M100" s="512">
        <f t="shared" si="5"/>
        <v>1.2987012987012988E-2</v>
      </c>
      <c r="N100" s="505"/>
      <c r="O100" s="2"/>
    </row>
    <row r="101" spans="2:15">
      <c r="B101" s="7"/>
      <c r="C101" s="238">
        <v>2013</v>
      </c>
      <c r="D101" s="207"/>
      <c r="E101" s="207"/>
      <c r="F101" s="207"/>
      <c r="G101" s="500">
        <v>11799538.469999999</v>
      </c>
      <c r="H101" s="501"/>
      <c r="I101" s="502">
        <f t="shared" si="4"/>
        <v>8.6933779344599872E-3</v>
      </c>
      <c r="J101" s="505"/>
      <c r="K101" s="500">
        <v>4</v>
      </c>
      <c r="L101" s="501"/>
      <c r="M101" s="512">
        <f t="shared" si="5"/>
        <v>1.7316017316017316E-2</v>
      </c>
      <c r="N101" s="505"/>
      <c r="O101" s="2"/>
    </row>
    <row r="102" spans="2:15">
      <c r="B102" s="7"/>
      <c r="C102" s="238">
        <v>2014</v>
      </c>
      <c r="D102" s="207"/>
      <c r="E102" s="207"/>
      <c r="F102" s="207"/>
      <c r="G102" s="500">
        <v>0</v>
      </c>
      <c r="H102" s="501"/>
      <c r="I102" s="502">
        <f t="shared" si="4"/>
        <v>0</v>
      </c>
      <c r="J102" s="505"/>
      <c r="K102" s="500">
        <v>0</v>
      </c>
      <c r="L102" s="501"/>
      <c r="M102" s="512">
        <f t="shared" si="5"/>
        <v>0</v>
      </c>
      <c r="N102" s="505"/>
      <c r="O102" s="2"/>
    </row>
    <row r="103" spans="2:15">
      <c r="B103" s="7"/>
      <c r="C103" s="238">
        <v>2015</v>
      </c>
      <c r="D103" s="207"/>
      <c r="E103" s="207"/>
      <c r="F103" s="207"/>
      <c r="G103" s="500">
        <v>1921911.8855000001</v>
      </c>
      <c r="H103" s="501"/>
      <c r="I103" s="502">
        <f t="shared" si="4"/>
        <v>1.4159796520738061E-3</v>
      </c>
      <c r="J103" s="505"/>
      <c r="K103" s="500">
        <v>2</v>
      </c>
      <c r="L103" s="501"/>
      <c r="M103" s="512">
        <f t="shared" si="5"/>
        <v>8.658008658008658E-3</v>
      </c>
      <c r="N103" s="505"/>
      <c r="O103" s="2"/>
    </row>
    <row r="104" spans="2:15">
      <c r="B104" s="7"/>
      <c r="C104" s="238">
        <v>2016</v>
      </c>
      <c r="D104" s="207"/>
      <c r="E104" s="207"/>
      <c r="F104" s="207"/>
      <c r="G104" s="500">
        <v>17578810.5495</v>
      </c>
      <c r="H104" s="501"/>
      <c r="I104" s="502">
        <f t="shared" si="4"/>
        <v>1.2951289928297997E-2</v>
      </c>
      <c r="J104" s="505"/>
      <c r="K104" s="500">
        <v>8</v>
      </c>
      <c r="L104" s="501"/>
      <c r="M104" s="512">
        <f t="shared" si="5"/>
        <v>3.4632034632034632E-2</v>
      </c>
      <c r="N104" s="505"/>
      <c r="O104" s="2"/>
    </row>
    <row r="105" spans="2:15">
      <c r="B105" s="7"/>
      <c r="C105" s="238">
        <v>2017</v>
      </c>
      <c r="D105" s="207"/>
      <c r="E105" s="207"/>
      <c r="F105" s="207"/>
      <c r="G105" s="500">
        <v>104017210.73</v>
      </c>
      <c r="H105" s="501"/>
      <c r="I105" s="502">
        <f t="shared" si="4"/>
        <v>7.6635279156325911E-2</v>
      </c>
      <c r="J105" s="505"/>
      <c r="K105" s="500">
        <v>14</v>
      </c>
      <c r="L105" s="501"/>
      <c r="M105" s="512">
        <f t="shared" si="5"/>
        <v>6.0606060606060608E-2</v>
      </c>
      <c r="N105" s="505"/>
      <c r="O105" s="2"/>
    </row>
    <row r="106" spans="2:15">
      <c r="B106" s="7"/>
      <c r="C106" s="238">
        <v>2018</v>
      </c>
      <c r="D106" s="207"/>
      <c r="E106" s="207"/>
      <c r="F106" s="207"/>
      <c r="G106" s="500">
        <v>90649054.663499981</v>
      </c>
      <c r="H106" s="501"/>
      <c r="I106" s="502">
        <f t="shared" si="4"/>
        <v>6.6786213172228256E-2</v>
      </c>
      <c r="J106" s="505"/>
      <c r="K106" s="500">
        <v>14</v>
      </c>
      <c r="L106" s="501"/>
      <c r="M106" s="512">
        <f t="shared" si="5"/>
        <v>6.0606060606060608E-2</v>
      </c>
      <c r="N106" s="505"/>
      <c r="O106" s="2"/>
    </row>
    <row r="107" spans="2:15">
      <c r="B107" s="7"/>
      <c r="C107" s="238">
        <v>2019</v>
      </c>
      <c r="D107" s="207"/>
      <c r="E107" s="207"/>
      <c r="F107" s="207"/>
      <c r="G107" s="500">
        <v>180857659.8795</v>
      </c>
      <c r="H107" s="501"/>
      <c r="I107" s="502">
        <f t="shared" si="4"/>
        <v>0.13324792267697186</v>
      </c>
      <c r="J107" s="505"/>
      <c r="K107" s="500">
        <v>31</v>
      </c>
      <c r="L107" s="501"/>
      <c r="M107" s="512">
        <f t="shared" si="5"/>
        <v>0.13419913419913421</v>
      </c>
      <c r="N107" s="505"/>
      <c r="O107" s="2"/>
    </row>
    <row r="108" spans="2:15">
      <c r="B108" s="7"/>
      <c r="C108" s="238">
        <v>2020</v>
      </c>
      <c r="D108" s="207"/>
      <c r="E108" s="207"/>
      <c r="F108" s="207"/>
      <c r="G108" s="500">
        <v>199742223.1015</v>
      </c>
      <c r="H108" s="501"/>
      <c r="I108" s="502">
        <f t="shared" si="4"/>
        <v>0.14716123340801857</v>
      </c>
      <c r="J108" s="505"/>
      <c r="K108" s="500">
        <v>30</v>
      </c>
      <c r="L108" s="501"/>
      <c r="M108" s="512">
        <f t="shared" si="5"/>
        <v>0.12987012987012986</v>
      </c>
      <c r="N108" s="505"/>
      <c r="O108" s="2"/>
    </row>
    <row r="109" spans="2:15">
      <c r="B109" s="7"/>
      <c r="C109" s="238">
        <v>2021</v>
      </c>
      <c r="D109" s="207"/>
      <c r="E109" s="207"/>
      <c r="F109" s="207"/>
      <c r="G109" s="500">
        <v>72658142.372999996</v>
      </c>
      <c r="H109" s="501"/>
      <c r="I109" s="502">
        <f t="shared" si="4"/>
        <v>5.3531304912495484E-2</v>
      </c>
      <c r="J109" s="505"/>
      <c r="K109" s="500">
        <v>18</v>
      </c>
      <c r="L109" s="501"/>
      <c r="M109" s="512">
        <f t="shared" si="5"/>
        <v>7.792207792207792E-2</v>
      </c>
      <c r="N109" s="505"/>
      <c r="O109" s="2"/>
    </row>
    <row r="110" spans="2:15">
      <c r="B110" s="7"/>
      <c r="C110" s="238">
        <v>2022</v>
      </c>
      <c r="D110" s="207"/>
      <c r="E110" s="207"/>
      <c r="F110" s="207"/>
      <c r="G110" s="500">
        <v>337234632.59299999</v>
      </c>
      <c r="H110" s="501"/>
      <c r="I110" s="502">
        <f t="shared" si="4"/>
        <v>0.24845955807284276</v>
      </c>
      <c r="J110" s="505"/>
      <c r="K110" s="500">
        <v>55</v>
      </c>
      <c r="L110" s="501"/>
      <c r="M110" s="512">
        <f t="shared" si="5"/>
        <v>0.23809523809523808</v>
      </c>
      <c r="N110" s="505"/>
      <c r="O110" s="2"/>
    </row>
    <row r="111" spans="2:15">
      <c r="B111" s="7"/>
      <c r="C111" s="238">
        <v>2023</v>
      </c>
      <c r="D111" s="207"/>
      <c r="E111" s="207"/>
      <c r="F111" s="207"/>
      <c r="G111" s="500">
        <v>212146000.1435</v>
      </c>
      <c r="H111" s="501"/>
      <c r="I111" s="502">
        <f t="shared" si="4"/>
        <v>0.15629978759088264</v>
      </c>
      <c r="J111" s="505"/>
      <c r="K111" s="500">
        <v>36</v>
      </c>
      <c r="L111" s="501"/>
      <c r="M111" s="512">
        <f t="shared" si="5"/>
        <v>0.15584415584415584</v>
      </c>
      <c r="N111" s="505"/>
      <c r="O111" s="2"/>
    </row>
    <row r="112" spans="2:15">
      <c r="B112" s="7"/>
      <c r="C112" s="238">
        <v>2024</v>
      </c>
      <c r="D112" s="207"/>
      <c r="E112" s="207"/>
      <c r="F112" s="207"/>
      <c r="G112" s="500">
        <v>123197104.99949999</v>
      </c>
      <c r="H112" s="501"/>
      <c r="I112" s="502">
        <f t="shared" si="4"/>
        <v>9.0766176737758747E-2</v>
      </c>
      <c r="J112" s="505"/>
      <c r="K112" s="500">
        <v>15</v>
      </c>
      <c r="L112" s="501"/>
      <c r="M112" s="512">
        <f t="shared" si="5"/>
        <v>6.4935064935064929E-2</v>
      </c>
      <c r="N112" s="505"/>
      <c r="O112" s="2"/>
    </row>
    <row r="113" spans="2:15">
      <c r="B113" s="7"/>
      <c r="C113" s="238">
        <v>2025</v>
      </c>
      <c r="D113" s="207"/>
      <c r="E113" s="207"/>
      <c r="F113" s="207"/>
      <c r="G113" s="500">
        <v>2125390.9</v>
      </c>
      <c r="H113" s="501"/>
      <c r="I113" s="502">
        <f t="shared" si="4"/>
        <v>1.5658939880690143E-3</v>
      </c>
      <c r="J113" s="505"/>
      <c r="K113" s="500">
        <v>1</v>
      </c>
      <c r="L113" s="501"/>
      <c r="M113" s="512">
        <f t="shared" si="5"/>
        <v>4.329004329004329E-3</v>
      </c>
      <c r="N113" s="505"/>
      <c r="O113" s="2"/>
    </row>
    <row r="114" spans="2:15">
      <c r="B114" s="7"/>
      <c r="C114" s="237" t="s">
        <v>358</v>
      </c>
      <c r="D114" s="188"/>
      <c r="E114" s="188"/>
      <c r="F114" s="188"/>
      <c r="G114" s="492">
        <f t="shared" ref="G114" si="6">SUM(G95:H113)</f>
        <v>1357301909.4485002</v>
      </c>
      <c r="H114" s="493"/>
      <c r="I114" s="494">
        <f t="shared" ref="I114" si="7">SUM(I95:J113)</f>
        <v>0.99999999999999989</v>
      </c>
      <c r="J114" s="513"/>
      <c r="K114" s="514">
        <f t="shared" ref="K114" si="8">SUM(K95:L113)</f>
        <v>231</v>
      </c>
      <c r="L114" s="495"/>
      <c r="M114" s="494">
        <f t="shared" ref="M114" si="9">SUM(M95:N113)</f>
        <v>1.0000000000000002</v>
      </c>
      <c r="N114" s="495"/>
      <c r="O114" s="2"/>
    </row>
    <row r="115" spans="2:15">
      <c r="B115" s="7"/>
      <c r="C115" s="9"/>
      <c r="D115" s="9"/>
      <c r="E115" s="9"/>
      <c r="F115" s="9"/>
      <c r="G115" s="9"/>
      <c r="H115" s="9"/>
      <c r="I115" s="9"/>
      <c r="J115" s="9"/>
      <c r="K115" s="9"/>
      <c r="L115" s="9"/>
      <c r="M115" s="9"/>
      <c r="N115" s="9"/>
      <c r="O115" s="2"/>
    </row>
    <row r="116" spans="2:15">
      <c r="B116" s="7"/>
      <c r="C116" s="237" t="s">
        <v>366</v>
      </c>
      <c r="D116" s="188"/>
      <c r="E116" s="188"/>
      <c r="F116" s="188"/>
      <c r="G116" s="289" t="s">
        <v>349</v>
      </c>
      <c r="H116" s="290"/>
      <c r="I116" s="289" t="s">
        <v>350</v>
      </c>
      <c r="J116" s="290"/>
      <c r="K116" s="289" t="s">
        <v>351</v>
      </c>
      <c r="L116" s="290"/>
      <c r="M116" s="253" t="s">
        <v>352</v>
      </c>
      <c r="N116" s="290"/>
      <c r="O116" s="2"/>
    </row>
    <row r="117" spans="2:15">
      <c r="B117" s="7"/>
      <c r="C117" s="238" t="s">
        <v>367</v>
      </c>
      <c r="D117" s="207"/>
      <c r="E117" s="207"/>
      <c r="F117" s="207"/>
      <c r="G117" s="506">
        <v>0</v>
      </c>
      <c r="H117" s="507"/>
      <c r="I117" s="502">
        <f>G117/$G$123</f>
        <v>0</v>
      </c>
      <c r="J117" s="505"/>
      <c r="K117" s="508">
        <v>0</v>
      </c>
      <c r="L117" s="509"/>
      <c r="M117" s="510">
        <f>K117/$K$123</f>
        <v>0</v>
      </c>
      <c r="N117" s="511"/>
      <c r="O117" s="2"/>
    </row>
    <row r="118" spans="2:15">
      <c r="B118" s="7"/>
      <c r="C118" s="238" t="s">
        <v>368</v>
      </c>
      <c r="D118" s="207"/>
      <c r="E118" s="207"/>
      <c r="F118" s="207"/>
      <c r="G118" s="500">
        <v>181785715.53999996</v>
      </c>
      <c r="H118" s="501"/>
      <c r="I118" s="502">
        <f t="shared" ref="I118:I122" si="10">G118/$G$123</f>
        <v>0.13393167303055165</v>
      </c>
      <c r="J118" s="502"/>
      <c r="K118" s="503">
        <v>2</v>
      </c>
      <c r="L118" s="504"/>
      <c r="M118" s="502">
        <f t="shared" ref="M118:M122" si="11">K118/$K$123</f>
        <v>8.658008658008658E-3</v>
      </c>
      <c r="N118" s="505"/>
      <c r="O118" s="2"/>
    </row>
    <row r="119" spans="2:15">
      <c r="B119" s="7"/>
      <c r="C119" s="238" t="s">
        <v>369</v>
      </c>
      <c r="D119" s="207"/>
      <c r="E119" s="207"/>
      <c r="F119" s="207"/>
      <c r="G119" s="500">
        <v>392765164.11899984</v>
      </c>
      <c r="H119" s="501"/>
      <c r="I119" s="502">
        <f t="shared" si="10"/>
        <v>0.28937199703681871</v>
      </c>
      <c r="J119" s="502"/>
      <c r="K119" s="503">
        <v>47</v>
      </c>
      <c r="L119" s="504"/>
      <c r="M119" s="502">
        <f t="shared" si="11"/>
        <v>0.20346320346320346</v>
      </c>
      <c r="N119" s="505"/>
      <c r="O119" s="2"/>
    </row>
    <row r="120" spans="2:15">
      <c r="B120" s="7"/>
      <c r="C120" s="238" t="s">
        <v>370</v>
      </c>
      <c r="D120" s="207"/>
      <c r="E120" s="207"/>
      <c r="F120" s="207"/>
      <c r="G120" s="500">
        <v>633684605.46100008</v>
      </c>
      <c r="H120" s="501"/>
      <c r="I120" s="502">
        <f t="shared" si="10"/>
        <v>0.46687078316899971</v>
      </c>
      <c r="J120" s="502"/>
      <c r="K120" s="503">
        <v>144</v>
      </c>
      <c r="L120" s="504"/>
      <c r="M120" s="502">
        <f t="shared" si="11"/>
        <v>0.62337662337662336</v>
      </c>
      <c r="N120" s="505"/>
      <c r="O120" s="2"/>
    </row>
    <row r="121" spans="2:15">
      <c r="B121" s="7"/>
      <c r="C121" s="238" t="s">
        <v>371</v>
      </c>
      <c r="D121" s="207"/>
      <c r="E121" s="207"/>
      <c r="F121" s="207"/>
      <c r="G121" s="500">
        <v>146743621.38850069</v>
      </c>
      <c r="H121" s="501"/>
      <c r="I121" s="502">
        <f t="shared" si="10"/>
        <v>0.10811420831797521</v>
      </c>
      <c r="J121" s="502"/>
      <c r="K121" s="503">
        <v>37</v>
      </c>
      <c r="L121" s="504"/>
      <c r="M121" s="502">
        <f t="shared" si="11"/>
        <v>0.16017316017316016</v>
      </c>
      <c r="N121" s="505"/>
      <c r="O121" s="2"/>
    </row>
    <row r="122" spans="2:15">
      <c r="B122" s="7"/>
      <c r="C122" s="238" t="s">
        <v>372</v>
      </c>
      <c r="D122" s="207"/>
      <c r="E122" s="207"/>
      <c r="F122" s="207"/>
      <c r="G122" s="485">
        <v>2322802.9399998188</v>
      </c>
      <c r="H122" s="486"/>
      <c r="I122" s="487">
        <f t="shared" si="10"/>
        <v>1.7113384456547485E-3</v>
      </c>
      <c r="J122" s="487"/>
      <c r="K122" s="488">
        <v>1</v>
      </c>
      <c r="L122" s="489"/>
      <c r="M122" s="490">
        <f t="shared" si="11"/>
        <v>4.329004329004329E-3</v>
      </c>
      <c r="N122" s="491"/>
      <c r="O122" s="2"/>
    </row>
    <row r="123" spans="2:15">
      <c r="B123" s="7"/>
      <c r="C123" s="237" t="s">
        <v>358</v>
      </c>
      <c r="D123" s="188"/>
      <c r="E123" s="188"/>
      <c r="F123" s="188"/>
      <c r="G123" s="492">
        <f>SUM(G117:H122)</f>
        <v>1357301909.4485004</v>
      </c>
      <c r="H123" s="493"/>
      <c r="I123" s="494">
        <f>SUM(I117:J122)</f>
        <v>1</v>
      </c>
      <c r="J123" s="495"/>
      <c r="K123" s="496">
        <f>SUM(K117:L122)</f>
        <v>231</v>
      </c>
      <c r="L123" s="497"/>
      <c r="M123" s="498">
        <f>SUM(M117:N122)</f>
        <v>1</v>
      </c>
      <c r="N123" s="499"/>
      <c r="O123" s="2"/>
    </row>
    <row r="124" spans="2:15" ht="15" thickBot="1">
      <c r="B124" s="197"/>
      <c r="C124" s="240"/>
      <c r="D124" s="240"/>
      <c r="E124" s="240"/>
      <c r="F124" s="240"/>
      <c r="G124" s="240"/>
      <c r="H124" s="240"/>
      <c r="I124" s="240"/>
      <c r="J124" s="240"/>
      <c r="K124" s="240"/>
      <c r="L124" s="240"/>
      <c r="M124" s="240"/>
      <c r="N124" s="240"/>
      <c r="O124" s="126"/>
    </row>
    <row r="186" spans="11:11">
      <c r="K186" s="1">
        <v>2457389.4</v>
      </c>
    </row>
  </sheetData>
  <mergeCells count="275">
    <mergeCell ref="J12:N12"/>
    <mergeCell ref="C13:E14"/>
    <mergeCell ref="J13:N13"/>
    <mergeCell ref="J14:N14"/>
    <mergeCell ref="J15:N15"/>
    <mergeCell ref="J16:N16"/>
    <mergeCell ref="C3:N4"/>
    <mergeCell ref="C6:N6"/>
    <mergeCell ref="J8:N8"/>
    <mergeCell ref="J9:N9"/>
    <mergeCell ref="C10:E11"/>
    <mergeCell ref="J10:N10"/>
    <mergeCell ref="J11:N11"/>
    <mergeCell ref="C23:N23"/>
    <mergeCell ref="J24:N24"/>
    <mergeCell ref="C25:N25"/>
    <mergeCell ref="J26:N26"/>
    <mergeCell ref="J27:M27"/>
    <mergeCell ref="J28:M28"/>
    <mergeCell ref="C17:E18"/>
    <mergeCell ref="J17:N17"/>
    <mergeCell ref="J18:N18"/>
    <mergeCell ref="J19:N19"/>
    <mergeCell ref="J20:N20"/>
    <mergeCell ref="C22:N22"/>
    <mergeCell ref="J35:M35"/>
    <mergeCell ref="J36:M36"/>
    <mergeCell ref="C37:N37"/>
    <mergeCell ref="J38:N38"/>
    <mergeCell ref="J39:M39"/>
    <mergeCell ref="J40:M40"/>
    <mergeCell ref="J29:N29"/>
    <mergeCell ref="J30:M30"/>
    <mergeCell ref="J31:M31"/>
    <mergeCell ref="C32:N32"/>
    <mergeCell ref="J33:N33"/>
    <mergeCell ref="J34:M34"/>
    <mergeCell ref="J47:M47"/>
    <mergeCell ref="C48:N48"/>
    <mergeCell ref="J49:N49"/>
    <mergeCell ref="C51:N51"/>
    <mergeCell ref="I52:K52"/>
    <mergeCell ref="L52:N52"/>
    <mergeCell ref="J41:M41"/>
    <mergeCell ref="J42:N42"/>
    <mergeCell ref="J43:N43"/>
    <mergeCell ref="J44:N44"/>
    <mergeCell ref="J45:N45"/>
    <mergeCell ref="J46:M46"/>
    <mergeCell ref="I56:J56"/>
    <mergeCell ref="L56:M56"/>
    <mergeCell ref="I57:J57"/>
    <mergeCell ref="L57:M57"/>
    <mergeCell ref="I58:K58"/>
    <mergeCell ref="L58:N58"/>
    <mergeCell ref="I53:K53"/>
    <mergeCell ref="L53:N53"/>
    <mergeCell ref="I54:K54"/>
    <mergeCell ref="L54:N54"/>
    <mergeCell ref="I55:J55"/>
    <mergeCell ref="L55:M55"/>
    <mergeCell ref="I62:J62"/>
    <mergeCell ref="L62:M62"/>
    <mergeCell ref="I63:K63"/>
    <mergeCell ref="L63:N63"/>
    <mergeCell ref="C65:N65"/>
    <mergeCell ref="F66:H66"/>
    <mergeCell ref="I66:K66"/>
    <mergeCell ref="L66:N66"/>
    <mergeCell ref="I59:J59"/>
    <mergeCell ref="L59:M59"/>
    <mergeCell ref="I60:J60"/>
    <mergeCell ref="L60:M60"/>
    <mergeCell ref="I61:J61"/>
    <mergeCell ref="L61:M61"/>
    <mergeCell ref="F69:H69"/>
    <mergeCell ref="I69:K69"/>
    <mergeCell ref="L69:N69"/>
    <mergeCell ref="F70:H70"/>
    <mergeCell ref="I70:K70"/>
    <mergeCell ref="L70:N70"/>
    <mergeCell ref="F67:H67"/>
    <mergeCell ref="I67:K67"/>
    <mergeCell ref="L67:N67"/>
    <mergeCell ref="F68:H68"/>
    <mergeCell ref="I68:K68"/>
    <mergeCell ref="L68:N68"/>
    <mergeCell ref="F73:H73"/>
    <mergeCell ref="I73:K73"/>
    <mergeCell ref="L73:N73"/>
    <mergeCell ref="F74:H74"/>
    <mergeCell ref="I74:K74"/>
    <mergeCell ref="L74:N74"/>
    <mergeCell ref="F71:H71"/>
    <mergeCell ref="I71:K71"/>
    <mergeCell ref="L71:N71"/>
    <mergeCell ref="F72:H72"/>
    <mergeCell ref="I72:K72"/>
    <mergeCell ref="L72:N72"/>
    <mergeCell ref="G79:H79"/>
    <mergeCell ref="I79:J79"/>
    <mergeCell ref="K79:L79"/>
    <mergeCell ref="M79:N79"/>
    <mergeCell ref="G80:H80"/>
    <mergeCell ref="I80:J80"/>
    <mergeCell ref="K80:L80"/>
    <mergeCell ref="M80:N80"/>
    <mergeCell ref="F75:H75"/>
    <mergeCell ref="I75:K75"/>
    <mergeCell ref="L75:N75"/>
    <mergeCell ref="C77:N77"/>
    <mergeCell ref="G78:H78"/>
    <mergeCell ref="I78:J78"/>
    <mergeCell ref="K78:L78"/>
    <mergeCell ref="M78:N78"/>
    <mergeCell ref="G83:H83"/>
    <mergeCell ref="I83:J83"/>
    <mergeCell ref="K83:L83"/>
    <mergeCell ref="M83:N83"/>
    <mergeCell ref="G84:H84"/>
    <mergeCell ref="I84:J84"/>
    <mergeCell ref="K84:L84"/>
    <mergeCell ref="M84:N84"/>
    <mergeCell ref="G81:H81"/>
    <mergeCell ref="I81:J81"/>
    <mergeCell ref="K81:L81"/>
    <mergeCell ref="M81:N81"/>
    <mergeCell ref="G82:H82"/>
    <mergeCell ref="I82:J82"/>
    <mergeCell ref="K82:L82"/>
    <mergeCell ref="M82:N82"/>
    <mergeCell ref="G88:H88"/>
    <mergeCell ref="I88:J88"/>
    <mergeCell ref="K88:L88"/>
    <mergeCell ref="M88:N88"/>
    <mergeCell ref="G89:H89"/>
    <mergeCell ref="I89:J89"/>
    <mergeCell ref="K89:L89"/>
    <mergeCell ref="M89:N89"/>
    <mergeCell ref="G86:H86"/>
    <mergeCell ref="I86:J86"/>
    <mergeCell ref="K86:L86"/>
    <mergeCell ref="M86:N86"/>
    <mergeCell ref="G87:H87"/>
    <mergeCell ref="I87:J87"/>
    <mergeCell ref="K87:L87"/>
    <mergeCell ref="M87:N87"/>
    <mergeCell ref="G92:H92"/>
    <mergeCell ref="I92:J92"/>
    <mergeCell ref="K92:L92"/>
    <mergeCell ref="M92:N92"/>
    <mergeCell ref="G94:H94"/>
    <mergeCell ref="I94:J94"/>
    <mergeCell ref="K94:L94"/>
    <mergeCell ref="M94:N94"/>
    <mergeCell ref="G90:H90"/>
    <mergeCell ref="I90:J90"/>
    <mergeCell ref="K90:L90"/>
    <mergeCell ref="M90:N90"/>
    <mergeCell ref="G91:H91"/>
    <mergeCell ref="I91:J91"/>
    <mergeCell ref="K91:L91"/>
    <mergeCell ref="M91:N91"/>
    <mergeCell ref="G97:H97"/>
    <mergeCell ref="I97:J97"/>
    <mergeCell ref="K97:L97"/>
    <mergeCell ref="M97:N97"/>
    <mergeCell ref="G98:H98"/>
    <mergeCell ref="I98:J98"/>
    <mergeCell ref="K98:L98"/>
    <mergeCell ref="M98:N98"/>
    <mergeCell ref="G95:H95"/>
    <mergeCell ref="I95:J95"/>
    <mergeCell ref="K95:L95"/>
    <mergeCell ref="M95:N95"/>
    <mergeCell ref="G96:H96"/>
    <mergeCell ref="I96:J96"/>
    <mergeCell ref="K96:L96"/>
    <mergeCell ref="M96:N96"/>
    <mergeCell ref="G101:H101"/>
    <mergeCell ref="I101:J101"/>
    <mergeCell ref="K101:L101"/>
    <mergeCell ref="M101:N101"/>
    <mergeCell ref="G102:H102"/>
    <mergeCell ref="I102:J102"/>
    <mergeCell ref="K102:L102"/>
    <mergeCell ref="M102:N102"/>
    <mergeCell ref="G99:H99"/>
    <mergeCell ref="I99:J99"/>
    <mergeCell ref="K99:L99"/>
    <mergeCell ref="M99:N99"/>
    <mergeCell ref="G100:H100"/>
    <mergeCell ref="I100:J100"/>
    <mergeCell ref="K100:L100"/>
    <mergeCell ref="M100:N100"/>
    <mergeCell ref="G105:H105"/>
    <mergeCell ref="I105:J105"/>
    <mergeCell ref="K105:L105"/>
    <mergeCell ref="M105:N105"/>
    <mergeCell ref="G106:H106"/>
    <mergeCell ref="I106:J106"/>
    <mergeCell ref="K106:L106"/>
    <mergeCell ref="M106:N106"/>
    <mergeCell ref="G103:H103"/>
    <mergeCell ref="I103:J103"/>
    <mergeCell ref="K103:L103"/>
    <mergeCell ref="M103:N103"/>
    <mergeCell ref="G104:H104"/>
    <mergeCell ref="I104:J104"/>
    <mergeCell ref="K104:L104"/>
    <mergeCell ref="M104:N104"/>
    <mergeCell ref="G109:H109"/>
    <mergeCell ref="I109:J109"/>
    <mergeCell ref="K109:L109"/>
    <mergeCell ref="M109:N109"/>
    <mergeCell ref="G110:H110"/>
    <mergeCell ref="I110:J110"/>
    <mergeCell ref="K110:L110"/>
    <mergeCell ref="M110:N110"/>
    <mergeCell ref="G107:H107"/>
    <mergeCell ref="I107:J107"/>
    <mergeCell ref="K107:L107"/>
    <mergeCell ref="M107:N107"/>
    <mergeCell ref="G108:H108"/>
    <mergeCell ref="I108:J108"/>
    <mergeCell ref="K108:L108"/>
    <mergeCell ref="M108:N108"/>
    <mergeCell ref="G113:H113"/>
    <mergeCell ref="I113:J113"/>
    <mergeCell ref="K113:L113"/>
    <mergeCell ref="M113:N113"/>
    <mergeCell ref="G114:H114"/>
    <mergeCell ref="I114:J114"/>
    <mergeCell ref="K114:L114"/>
    <mergeCell ref="M114:N114"/>
    <mergeCell ref="G111:H111"/>
    <mergeCell ref="I111:J111"/>
    <mergeCell ref="K111:L111"/>
    <mergeCell ref="M111:N111"/>
    <mergeCell ref="G112:H112"/>
    <mergeCell ref="I112:J112"/>
    <mergeCell ref="K112:L112"/>
    <mergeCell ref="M112:N112"/>
    <mergeCell ref="G118:H118"/>
    <mergeCell ref="I118:J118"/>
    <mergeCell ref="K118:L118"/>
    <mergeCell ref="M118:N118"/>
    <mergeCell ref="G119:H119"/>
    <mergeCell ref="I119:J119"/>
    <mergeCell ref="K119:L119"/>
    <mergeCell ref="M119:N119"/>
    <mergeCell ref="G116:H116"/>
    <mergeCell ref="I116:J116"/>
    <mergeCell ref="K116:L116"/>
    <mergeCell ref="M116:N116"/>
    <mergeCell ref="G117:H117"/>
    <mergeCell ref="I117:J117"/>
    <mergeCell ref="K117:L117"/>
    <mergeCell ref="M117:N117"/>
    <mergeCell ref="G122:H122"/>
    <mergeCell ref="I122:J122"/>
    <mergeCell ref="K122:L122"/>
    <mergeCell ref="M122:N122"/>
    <mergeCell ref="G123:H123"/>
    <mergeCell ref="I123:J123"/>
    <mergeCell ref="K123:L123"/>
    <mergeCell ref="M123:N123"/>
    <mergeCell ref="G120:H120"/>
    <mergeCell ref="I120:J120"/>
    <mergeCell ref="K120:L120"/>
    <mergeCell ref="M120:N120"/>
    <mergeCell ref="G121:H121"/>
    <mergeCell ref="I121:J121"/>
    <mergeCell ref="K121:L121"/>
    <mergeCell ref="M121:N121"/>
  </mergeCells>
  <pageMargins left="0.7" right="0.7" top="0.75" bottom="0.75" header="0.3" footer="0.3"/>
  <pageSetup paperSize="9" scale="57" orientation="portrait" r:id="rId1"/>
  <rowBreaks count="1" manualBreakCount="1">
    <brk id="75" min="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3105ca-3395-4058-8284-88e334f7b956">
      <Terms xmlns="http://schemas.microsoft.com/office/infopath/2007/PartnerControls"/>
    </lcf76f155ced4ddcb4097134ff3c332f>
    <TaxCatchAll xmlns="18709e2e-4da8-42d3-bf03-d1d83e474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CBF554220BF2499ADD23B390874F60" ma:contentTypeVersion="19" ma:contentTypeDescription="Create a new document." ma:contentTypeScope="" ma:versionID="80229f92fe610b73dffc4b5d557bca40">
  <xsd:schema xmlns:xsd="http://www.w3.org/2001/XMLSchema" xmlns:xs="http://www.w3.org/2001/XMLSchema" xmlns:p="http://schemas.microsoft.com/office/2006/metadata/properties" xmlns:ns2="18709e2e-4da8-42d3-bf03-d1d83e4744e5" xmlns:ns3="a23105ca-3395-4058-8284-88e334f7b956" targetNamespace="http://schemas.microsoft.com/office/2006/metadata/properties" ma:root="true" ma:fieldsID="7b328481c7e446f05e66e35d4ee7dbb3" ns2:_="" ns3:_="">
    <xsd:import namespace="18709e2e-4da8-42d3-bf03-d1d83e4744e5"/>
    <xsd:import namespace="a23105ca-3395-4058-8284-88e334f7b9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09e2e-4da8-42d3-bf03-d1d83e4744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d0eebc-1016-4285-9cc5-e3d70dd17829}" ma:internalName="TaxCatchAll" ma:showField="CatchAllData" ma:web="18709e2e-4da8-42d3-bf03-d1d83e474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105ca-3395-4058-8284-88e334f7b9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379127-f9a3-4ce9-b5c2-480bec3eea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AE488A-CCA2-4340-9E18-18AF00865EE0}">
  <ds:schemaRefs>
    <ds:schemaRef ds:uri="http://schemas.microsoft.com/office/2006/metadata/properties"/>
    <ds:schemaRef ds:uri="http://schemas.microsoft.com/office/infopath/2007/PartnerControls"/>
    <ds:schemaRef ds:uri="a23105ca-3395-4058-8284-88e334f7b956"/>
    <ds:schemaRef ds:uri="18709e2e-4da8-42d3-bf03-d1d83e4744e5"/>
  </ds:schemaRefs>
</ds:datastoreItem>
</file>

<file path=customXml/itemProps2.xml><?xml version="1.0" encoding="utf-8"?>
<ds:datastoreItem xmlns:ds="http://schemas.openxmlformats.org/officeDocument/2006/customXml" ds:itemID="{6292715D-8BA7-474D-8D4A-23B5AF574BCD}">
  <ds:schemaRefs>
    <ds:schemaRef ds:uri="http://schemas.microsoft.com/sharepoint/v3/contenttype/forms"/>
  </ds:schemaRefs>
</ds:datastoreItem>
</file>

<file path=customXml/itemProps3.xml><?xml version="1.0" encoding="utf-8"?>
<ds:datastoreItem xmlns:ds="http://schemas.openxmlformats.org/officeDocument/2006/customXml" ds:itemID="{3287EDBC-4365-4854-BF3C-032AA6D01E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Admin Report</vt:lpstr>
      <vt:lpstr>Servicer Report</vt:lpstr>
      <vt:lpstr>'Admin Report'!Print_Area</vt:lpstr>
      <vt:lpstr>'Servicer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Tebogo Moseamedi</dc:creator>
  <cp:lastModifiedBy>Lunga Mputa</cp:lastModifiedBy>
  <cp:lastPrinted>2025-04-05T06:44:17Z</cp:lastPrinted>
  <dcterms:created xsi:type="dcterms:W3CDTF">2025-02-17T18:03:55Z</dcterms:created>
  <dcterms:modified xsi:type="dcterms:W3CDTF">2025-05-13T11:01:12Z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0x0101006ECBF554220BF2499ADD23B390874F60</vt:lpwstr>
  </property>
  <property fmtid="{D5CDD505-2E9C-101B-9397-08002B2CF9AE}" pid="3" name="MediaServiceImageTags">
    <vt:lpwstr/>
  </property>
</Properties>
</file>